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EstaPasta_de_trabalho" defaultThemeVersion="124226"/>
  <bookViews>
    <workbookView xWindow="-120" yWindow="-120" windowWidth="20730" windowHeight="11160" tabRatio="917"/>
  </bookViews>
  <sheets>
    <sheet name="ORÇAMENTO" sheetId="9" r:id="rId1"/>
    <sheet name="CRON. MACRO" sheetId="31" r:id="rId2"/>
    <sheet name="BDI" sheetId="32" r:id="rId3"/>
    <sheet name="Encargos Sociais" sheetId="47" r:id="rId4"/>
    <sheet name="MOBILIZAÇÃO-CPU " sheetId="27" r:id="rId5"/>
    <sheet name="ADM LOCAL-CPU" sheetId="28" r:id="rId6"/>
    <sheet name="CPU" sheetId="39" r:id="rId7"/>
    <sheet name="DMT" sheetId="40" state="hidden" r:id="rId8"/>
  </sheets>
  <definedNames>
    <definedName name="_xlnm._FilterDatabase" localSheetId="1" hidden="1">'CRON. MACRO'!#REF!</definedName>
    <definedName name="_xlnm._FilterDatabase" localSheetId="0" hidden="1">ORÇAMENTO!$A$17:$Q$128</definedName>
    <definedName name="_xlnm.Print_Area" localSheetId="5">'ADM LOCAL-CPU'!$A$1:$J$37</definedName>
    <definedName name="_xlnm.Print_Area" localSheetId="2">BDI!$A$1:$F$42</definedName>
    <definedName name="_xlnm.Print_Area" localSheetId="6">CPU!$A$1:$H$154</definedName>
    <definedName name="_xlnm.Print_Area" localSheetId="1">'CRON. MACRO'!$A$1:$N$28</definedName>
    <definedName name="_xlnm.Print_Area" localSheetId="3">'Encargos Sociais'!$A$1:$F$54</definedName>
    <definedName name="_xlnm.Print_Area" localSheetId="4">'MOBILIZAÇÃO-CPU '!$A$1:$I$59</definedName>
    <definedName name="_xlnm.Print_Area" localSheetId="0">ORÇAMENTO!$A$1:$K$194</definedName>
    <definedName name="NRELATORIOS">COUNTA(#REF!)-2</definedName>
    <definedName name="RelatoriosFontes" localSheetId="3">OFFSET(#REF!,1,0,NRELATORIOS)</definedName>
    <definedName name="RelatoriosFontes">OFFSET(#REF!,1,0,NRELATORIOS)</definedName>
    <definedName name="_xlnm.Print_Titles" localSheetId="1">'CRON. MACRO'!$1:$11</definedName>
    <definedName name="_xlnm.Print_Titles" localSheetId="0">ORÇAMENTO!$1:$14</definedName>
  </definedNames>
  <calcPr calcId="144525"/>
</workbook>
</file>

<file path=xl/calcChain.xml><?xml version="1.0" encoding="utf-8"?>
<calcChain xmlns="http://schemas.openxmlformats.org/spreadsheetml/2006/main">
  <c r="D113" i="9" l="1"/>
  <c r="D175" i="9"/>
  <c r="R59" i="9" l="1"/>
  <c r="A4" i="32" l="1"/>
  <c r="A3" i="32"/>
  <c r="D164" i="9" l="1"/>
  <c r="D153" i="9"/>
  <c r="D165" i="9" l="1"/>
  <c r="D91" i="9"/>
  <c r="R60" i="9"/>
  <c r="N42" i="9"/>
  <c r="G42" i="9" s="1"/>
  <c r="F42" i="9" s="1"/>
  <c r="D102" i="9"/>
  <c r="G40" i="9"/>
  <c r="F40" i="9" s="1"/>
  <c r="F41" i="9"/>
  <c r="E41" i="9" s="1"/>
  <c r="D103" i="9"/>
  <c r="F131" i="9"/>
  <c r="F130" i="9"/>
  <c r="B131" i="9"/>
  <c r="B130" i="9"/>
  <c r="F193" i="9"/>
  <c r="F192" i="9"/>
  <c r="B193" i="9"/>
  <c r="B192" i="9"/>
  <c r="A187" i="9"/>
  <c r="D172" i="9"/>
  <c r="K146" i="9"/>
  <c r="C146" i="9"/>
  <c r="B146" i="9"/>
  <c r="K145" i="9"/>
  <c r="C145" i="9"/>
  <c r="B145" i="9"/>
  <c r="K144" i="9"/>
  <c r="C144" i="9"/>
  <c r="B144" i="9"/>
  <c r="K143" i="9"/>
  <c r="C143" i="9"/>
  <c r="B143" i="9"/>
  <c r="B142" i="9"/>
  <c r="A147" i="9" s="1"/>
  <c r="E138" i="9"/>
  <c r="D144" i="9" s="1"/>
  <c r="E42" i="9" l="1"/>
  <c r="E40" i="9"/>
  <c r="D53" i="47"/>
  <c r="D52" i="47"/>
  <c r="B53" i="47"/>
  <c r="B52" i="47"/>
  <c r="E41" i="32"/>
  <c r="E40" i="32"/>
  <c r="B41" i="32"/>
  <c r="B40" i="32"/>
  <c r="I26" i="31"/>
  <c r="I25" i="31"/>
  <c r="A126" i="9"/>
  <c r="A188" i="9" s="1"/>
  <c r="J24" i="28" l="1"/>
  <c r="I48" i="27"/>
  <c r="Q57" i="9" l="1"/>
  <c r="F145" i="39" l="1"/>
  <c r="H145" i="39" s="1"/>
  <c r="F144" i="39"/>
  <c r="H144" i="39" s="1"/>
  <c r="H143" i="39"/>
  <c r="F143" i="39"/>
  <c r="F142" i="39"/>
  <c r="H142" i="39" s="1"/>
  <c r="F141" i="39"/>
  <c r="H141" i="39" s="1"/>
  <c r="H140" i="39"/>
  <c r="H139" i="39"/>
  <c r="F136" i="39"/>
  <c r="H136" i="39" s="1"/>
  <c r="H135" i="39"/>
  <c r="F135" i="39"/>
  <c r="K134" i="39"/>
  <c r="J134" i="39"/>
  <c r="F134" i="39"/>
  <c r="H134" i="39" s="1"/>
  <c r="K133" i="39"/>
  <c r="F132" i="39" s="1"/>
  <c r="J133" i="39"/>
  <c r="H131" i="39"/>
  <c r="H130" i="39"/>
  <c r="H129" i="39"/>
  <c r="F133" i="39" l="1"/>
  <c r="H133" i="39" s="1"/>
  <c r="H132" i="39"/>
  <c r="H148" i="39" l="1"/>
  <c r="H149" i="39" s="1"/>
  <c r="H151" i="39" s="1"/>
  <c r="G27" i="9" l="1"/>
  <c r="F27" i="9" s="1"/>
  <c r="F30" i="9"/>
  <c r="E27" i="9" l="1"/>
  <c r="E30" i="9"/>
  <c r="N2" i="31"/>
  <c r="N49" i="9" l="1"/>
  <c r="G37" i="9"/>
  <c r="F37" i="9" s="1"/>
  <c r="E37" i="9" s="1"/>
  <c r="G38" i="9"/>
  <c r="F38" i="9" s="1"/>
  <c r="F35" i="9"/>
  <c r="A43" i="9"/>
  <c r="G39" i="9"/>
  <c r="F36" i="9"/>
  <c r="E36" i="9" s="1"/>
  <c r="G34" i="9"/>
  <c r="F34" i="9" s="1"/>
  <c r="F39" i="9" l="1"/>
  <c r="E38" i="9"/>
  <c r="E35" i="9"/>
  <c r="E34" i="9"/>
  <c r="G61" i="9"/>
  <c r="R58" i="9"/>
  <c r="G55" i="9"/>
  <c r="D110" i="9"/>
  <c r="E39" i="9" l="1"/>
  <c r="F28" i="9"/>
  <c r="F29" i="9"/>
  <c r="F61" i="9"/>
  <c r="F55" i="9"/>
  <c r="E28" i="9" l="1"/>
  <c r="E29" i="9"/>
  <c r="E61" i="9"/>
  <c r="E55" i="9"/>
  <c r="F26" i="9" l="1"/>
  <c r="E26" i="9" l="1"/>
  <c r="G107" i="39"/>
  <c r="G37" i="39"/>
  <c r="H61" i="39"/>
  <c r="H60" i="39"/>
  <c r="G57" i="39"/>
  <c r="H56" i="39"/>
  <c r="H55" i="39"/>
  <c r="G57" i="9"/>
  <c r="G56" i="9"/>
  <c r="G25" i="9"/>
  <c r="F115" i="39" l="1"/>
  <c r="H115" i="39" s="1"/>
  <c r="F114" i="39"/>
  <c r="H114" i="39" s="1"/>
  <c r="H113" i="39"/>
  <c r="H112" i="39"/>
  <c r="H111" i="39"/>
  <c r="H109" i="39"/>
  <c r="H105" i="39"/>
  <c r="H23" i="39"/>
  <c r="H22" i="39"/>
  <c r="H21" i="39"/>
  <c r="H20" i="39"/>
  <c r="H25" i="39"/>
  <c r="H24" i="39"/>
  <c r="H9" i="39"/>
  <c r="H8" i="39"/>
  <c r="H7" i="39"/>
  <c r="H28" i="39" l="1"/>
  <c r="H12" i="39"/>
  <c r="N19" i="9" s="1"/>
  <c r="E2" i="47"/>
  <c r="B3" i="47"/>
  <c r="B2" i="47"/>
  <c r="M46" i="47"/>
  <c r="E46" i="47" s="1"/>
  <c r="L46" i="47"/>
  <c r="K46" i="47"/>
  <c r="J46" i="47"/>
  <c r="D46" i="47"/>
  <c r="E45" i="47"/>
  <c r="D45" i="47"/>
  <c r="E44" i="47"/>
  <c r="D44" i="47"/>
  <c r="M42" i="47"/>
  <c r="L42" i="47"/>
  <c r="K42" i="47"/>
  <c r="J42" i="47"/>
  <c r="E42" i="47"/>
  <c r="D42" i="47"/>
  <c r="E41" i="47"/>
  <c r="D41" i="47"/>
  <c r="E40" i="47"/>
  <c r="D40" i="47"/>
  <c r="E39" i="47"/>
  <c r="D39" i="47"/>
  <c r="E38" i="47"/>
  <c r="D38" i="47"/>
  <c r="E37" i="47"/>
  <c r="D37" i="47"/>
  <c r="M35" i="47"/>
  <c r="L35" i="47"/>
  <c r="K35" i="47"/>
  <c r="J35" i="47"/>
  <c r="E35" i="47"/>
  <c r="D35" i="47"/>
  <c r="E34" i="47"/>
  <c r="D34" i="47"/>
  <c r="E33" i="47"/>
  <c r="D33" i="47"/>
  <c r="E32" i="47"/>
  <c r="D32" i="47"/>
  <c r="E31" i="47"/>
  <c r="D31" i="47"/>
  <c r="E30" i="47"/>
  <c r="D30" i="47"/>
  <c r="E29" i="47"/>
  <c r="D29" i="47"/>
  <c r="E28" i="47"/>
  <c r="D28" i="47"/>
  <c r="E27" i="47"/>
  <c r="D27" i="47"/>
  <c r="E26" i="47"/>
  <c r="D26" i="47"/>
  <c r="E25" i="47"/>
  <c r="D25" i="47"/>
  <c r="M23" i="47"/>
  <c r="M47" i="47" s="1"/>
  <c r="E47" i="47" s="1"/>
  <c r="L23" i="47"/>
  <c r="D23" i="47" s="1"/>
  <c r="K23" i="47"/>
  <c r="K47" i="47" s="1"/>
  <c r="J23" i="47"/>
  <c r="J47" i="47" s="1"/>
  <c r="J48" i="47" s="1"/>
  <c r="E23" i="47"/>
  <c r="E22" i="47"/>
  <c r="D22" i="47"/>
  <c r="E21" i="47"/>
  <c r="D21" i="47"/>
  <c r="E20" i="47"/>
  <c r="D20" i="47"/>
  <c r="E19" i="47"/>
  <c r="D19" i="47"/>
  <c r="E18" i="47"/>
  <c r="D18" i="47"/>
  <c r="E17" i="47"/>
  <c r="D17" i="47"/>
  <c r="E16" i="47"/>
  <c r="D16" i="47"/>
  <c r="E15" i="47"/>
  <c r="D15" i="47"/>
  <c r="E14" i="47"/>
  <c r="D14" i="47"/>
  <c r="F19" i="9" l="1"/>
  <c r="G143" i="9"/>
  <c r="J143" i="9" s="1"/>
  <c r="H29" i="39"/>
  <c r="H31" i="39" s="1"/>
  <c r="N20" i="9"/>
  <c r="H13" i="39"/>
  <c r="H15" i="39" s="1"/>
  <c r="L47" i="47"/>
  <c r="F143" i="9" l="1"/>
  <c r="I143" i="9" s="1"/>
  <c r="H143" i="9" s="1"/>
  <c r="F81" i="9"/>
  <c r="F20" i="9"/>
  <c r="F144" i="9" s="1"/>
  <c r="I144" i="9" s="1"/>
  <c r="G144" i="9"/>
  <c r="J144" i="9" s="1"/>
  <c r="L48" i="47"/>
  <c r="D48" i="47" s="1"/>
  <c r="D47" i="47"/>
  <c r="H144" i="9" l="1"/>
  <c r="F52" i="9"/>
  <c r="F44" i="39"/>
  <c r="F43" i="39"/>
  <c r="H43" i="39" s="1"/>
  <c r="H62" i="39"/>
  <c r="F64" i="39"/>
  <c r="H64" i="39" s="1"/>
  <c r="F63" i="39"/>
  <c r="N60" i="9" l="1"/>
  <c r="G60" i="9" s="1"/>
  <c r="F60" i="9" s="1"/>
  <c r="E60" i="9" s="1"/>
  <c r="N58" i="9"/>
  <c r="G58" i="9" s="1"/>
  <c r="F58" i="9" s="1"/>
  <c r="E58" i="9" s="1"/>
  <c r="N59" i="9"/>
  <c r="G59" i="9" s="1"/>
  <c r="E52" i="9"/>
  <c r="D108" i="9"/>
  <c r="F59" i="9" l="1"/>
  <c r="E59" i="9" s="1"/>
  <c r="E76" i="9"/>
  <c r="D82" i="9" s="1"/>
  <c r="D114" i="9" l="1"/>
  <c r="A1" i="39" l="1"/>
  <c r="B4" i="40" l="1"/>
  <c r="B3" i="40"/>
  <c r="B2" i="40"/>
  <c r="H81" i="39"/>
  <c r="H84" i="39"/>
  <c r="H85" i="39"/>
  <c r="H83" i="39"/>
  <c r="H82" i="39"/>
  <c r="H87" i="39"/>
  <c r="H86" i="39"/>
  <c r="H79" i="39"/>
  <c r="H78" i="39"/>
  <c r="H80" i="39"/>
  <c r="F31" i="9"/>
  <c r="D22" i="28"/>
  <c r="H57" i="39"/>
  <c r="H63" i="39"/>
  <c r="H59" i="39"/>
  <c r="H58" i="39"/>
  <c r="H37" i="39"/>
  <c r="H44" i="39"/>
  <c r="H42" i="39"/>
  <c r="H41" i="39"/>
  <c r="H40" i="39"/>
  <c r="H39" i="39"/>
  <c r="H38" i="39"/>
  <c r="H36" i="39"/>
  <c r="H107" i="39"/>
  <c r="H100" i="39"/>
  <c r="H101" i="39"/>
  <c r="H110" i="39"/>
  <c r="H108" i="39"/>
  <c r="H106" i="39"/>
  <c r="H104" i="39"/>
  <c r="H103" i="39"/>
  <c r="H102" i="39"/>
  <c r="A3" i="31"/>
  <c r="C26" i="31"/>
  <c r="C25" i="31"/>
  <c r="D21" i="28"/>
  <c r="H5" i="27"/>
  <c r="I6" i="28" s="1"/>
  <c r="A8" i="28"/>
  <c r="A9" i="28"/>
  <c r="I16" i="27"/>
  <c r="C24" i="27"/>
  <c r="D24" i="27"/>
  <c r="D38" i="27"/>
  <c r="I38" i="27" s="1"/>
  <c r="D39" i="27"/>
  <c r="I39" i="27" s="1"/>
  <c r="D40" i="27"/>
  <c r="I40" i="27" s="1"/>
  <c r="D41" i="27"/>
  <c r="I41" i="27" s="1"/>
  <c r="D42" i="27"/>
  <c r="I42" i="27" s="1"/>
  <c r="D43" i="27"/>
  <c r="I43" i="27" s="1"/>
  <c r="F3" i="32"/>
  <c r="F16" i="32"/>
  <c r="F17" i="32"/>
  <c r="F18" i="32"/>
  <c r="F19" i="32"/>
  <c r="A2" i="31"/>
  <c r="A5" i="31"/>
  <c r="B12" i="31"/>
  <c r="A23" i="9"/>
  <c r="A32" i="9"/>
  <c r="F45" i="9"/>
  <c r="E45" i="9" s="1"/>
  <c r="A53" i="9"/>
  <c r="F56" i="9"/>
  <c r="F57" i="9"/>
  <c r="A62" i="9"/>
  <c r="B80" i="9"/>
  <c r="A85" i="9" s="1"/>
  <c r="B81" i="9"/>
  <c r="C81" i="9"/>
  <c r="K81" i="9"/>
  <c r="B82" i="9"/>
  <c r="C82" i="9"/>
  <c r="K82" i="9"/>
  <c r="B83" i="9"/>
  <c r="C83" i="9"/>
  <c r="K83" i="9"/>
  <c r="B84" i="9"/>
  <c r="C84" i="9"/>
  <c r="K84" i="9"/>
  <c r="A125" i="9"/>
  <c r="K104" i="9" l="1"/>
  <c r="G104" i="9"/>
  <c r="J104" i="9" s="1"/>
  <c r="C104" i="9"/>
  <c r="B104" i="9"/>
  <c r="F104" i="9"/>
  <c r="I104" i="9" s="1"/>
  <c r="E104" i="9"/>
  <c r="K102" i="9"/>
  <c r="C102" i="9"/>
  <c r="G102" i="9"/>
  <c r="J102" i="9" s="1"/>
  <c r="B102" i="9"/>
  <c r="F102" i="9"/>
  <c r="I102" i="9" s="1"/>
  <c r="E102" i="9"/>
  <c r="B103" i="9"/>
  <c r="E103" i="9"/>
  <c r="G103" i="9"/>
  <c r="J103" i="9" s="1"/>
  <c r="F103" i="9"/>
  <c r="I103" i="9" s="1"/>
  <c r="C103" i="9"/>
  <c r="K103" i="9"/>
  <c r="G183" i="9"/>
  <c r="J183" i="9" s="1"/>
  <c r="G164" i="9"/>
  <c r="J164" i="9" s="1"/>
  <c r="B162" i="9"/>
  <c r="F159" i="9"/>
  <c r="I159" i="9" s="1"/>
  <c r="E152" i="9"/>
  <c r="G149" i="9"/>
  <c r="J149" i="9" s="1"/>
  <c r="G160" i="9"/>
  <c r="F153" i="9"/>
  <c r="I153" i="9" s="1"/>
  <c r="K150" i="9"/>
  <c r="K184" i="9"/>
  <c r="F183" i="9"/>
  <c r="I183" i="9" s="1"/>
  <c r="C182" i="9"/>
  <c r="K180" i="9"/>
  <c r="F179" i="9"/>
  <c r="I179" i="9" s="1"/>
  <c r="C174" i="9"/>
  <c r="C170" i="9"/>
  <c r="K165" i="9"/>
  <c r="K161" i="9"/>
  <c r="G150" i="9"/>
  <c r="J150" i="9" s="1"/>
  <c r="G184" i="9"/>
  <c r="J184" i="9" s="1"/>
  <c r="E183" i="9"/>
  <c r="B182" i="9"/>
  <c r="G180" i="9"/>
  <c r="J180" i="9" s="1"/>
  <c r="E179" i="9"/>
  <c r="B174" i="9"/>
  <c r="B170" i="9"/>
  <c r="B168" i="9"/>
  <c r="A177" i="9" s="1"/>
  <c r="G165" i="9"/>
  <c r="J165" i="9" s="1"/>
  <c r="E164" i="9"/>
  <c r="B163" i="9"/>
  <c r="G161" i="9"/>
  <c r="F160" i="9"/>
  <c r="C158" i="9"/>
  <c r="G154" i="9"/>
  <c r="J154" i="9" s="1"/>
  <c r="E153" i="9"/>
  <c r="B152" i="9"/>
  <c r="K185" i="9"/>
  <c r="F184" i="9"/>
  <c r="I184" i="9" s="1"/>
  <c r="C183" i="9"/>
  <c r="K181" i="9"/>
  <c r="F180" i="9"/>
  <c r="I180" i="9" s="1"/>
  <c r="C176" i="9"/>
  <c r="K173" i="9"/>
  <c r="C171" i="9"/>
  <c r="K169" i="9"/>
  <c r="K166" i="9"/>
  <c r="F165" i="9"/>
  <c r="I165" i="9" s="1"/>
  <c r="C164" i="9"/>
  <c r="K162" i="9"/>
  <c r="F161" i="9"/>
  <c r="E160" i="9"/>
  <c r="C159" i="9"/>
  <c r="B158" i="9"/>
  <c r="K155" i="9"/>
  <c r="F154" i="9"/>
  <c r="I154" i="9" s="1"/>
  <c r="C153" i="9"/>
  <c r="K151" i="9"/>
  <c r="C149" i="9"/>
  <c r="G185" i="9"/>
  <c r="J185" i="9" s="1"/>
  <c r="E184" i="9"/>
  <c r="G181" i="9"/>
  <c r="J181" i="9" s="1"/>
  <c r="C179" i="9"/>
  <c r="B176" i="9"/>
  <c r="C172" i="9"/>
  <c r="G169" i="9"/>
  <c r="J169" i="9" s="1"/>
  <c r="G166" i="9"/>
  <c r="J166" i="9" s="1"/>
  <c r="B164" i="9"/>
  <c r="E161" i="9"/>
  <c r="B159" i="9"/>
  <c r="G155" i="9"/>
  <c r="J155" i="9" s="1"/>
  <c r="E154" i="9"/>
  <c r="G151" i="9"/>
  <c r="J151" i="9" s="1"/>
  <c r="B149" i="9"/>
  <c r="C173" i="9"/>
  <c r="F169" i="9"/>
  <c r="I169" i="9" s="1"/>
  <c r="F166" i="9"/>
  <c r="I166" i="9" s="1"/>
  <c r="F162" i="9"/>
  <c r="B160" i="9"/>
  <c r="C154" i="9"/>
  <c r="F151" i="9"/>
  <c r="I151" i="9" s="1"/>
  <c r="B183" i="9"/>
  <c r="B171" i="9"/>
  <c r="E165" i="9"/>
  <c r="G162" i="9"/>
  <c r="C160" i="9"/>
  <c r="B157" i="9"/>
  <c r="A167" i="9" s="1"/>
  <c r="B153" i="9"/>
  <c r="C165" i="9"/>
  <c r="K158" i="9"/>
  <c r="F155" i="9"/>
  <c r="I155" i="9" s="1"/>
  <c r="K152" i="9"/>
  <c r="C150" i="9"/>
  <c r="G152" i="9"/>
  <c r="J152" i="9" s="1"/>
  <c r="B150" i="9"/>
  <c r="F185" i="9"/>
  <c r="I185" i="9" s="1"/>
  <c r="C184" i="9"/>
  <c r="K182" i="9"/>
  <c r="F181" i="9"/>
  <c r="I181" i="9" s="1"/>
  <c r="C180" i="9"/>
  <c r="B179" i="9"/>
  <c r="K175" i="9"/>
  <c r="B172" i="9"/>
  <c r="K170" i="9"/>
  <c r="K163" i="9"/>
  <c r="B148" i="9"/>
  <c r="A156" i="9" s="1"/>
  <c r="E185" i="9"/>
  <c r="B184" i="9"/>
  <c r="G182" i="9"/>
  <c r="J182" i="9" s="1"/>
  <c r="B180" i="9"/>
  <c r="B178" i="9"/>
  <c r="A186" i="9" s="1"/>
  <c r="C175" i="9"/>
  <c r="B173" i="9"/>
  <c r="K171" i="9"/>
  <c r="G170" i="9"/>
  <c r="J170" i="9" s="1"/>
  <c r="E169" i="9"/>
  <c r="E166" i="9"/>
  <c r="B165" i="9"/>
  <c r="G163" i="9"/>
  <c r="J163" i="9" s="1"/>
  <c r="E162" i="9"/>
  <c r="C161" i="9"/>
  <c r="K159" i="9"/>
  <c r="G158" i="9"/>
  <c r="J158" i="9" s="1"/>
  <c r="B154" i="9"/>
  <c r="E151" i="9"/>
  <c r="C185" i="9"/>
  <c r="K183" i="9"/>
  <c r="F182" i="9"/>
  <c r="I182" i="9" s="1"/>
  <c r="C181" i="9"/>
  <c r="K179" i="9"/>
  <c r="K176" i="9"/>
  <c r="B175" i="9"/>
  <c r="K172" i="9"/>
  <c r="G171" i="9"/>
  <c r="J171" i="9" s="1"/>
  <c r="C166" i="9"/>
  <c r="K164" i="9"/>
  <c r="F163" i="9"/>
  <c r="I163" i="9" s="1"/>
  <c r="C162" i="9"/>
  <c r="B161" i="9"/>
  <c r="G159" i="9"/>
  <c r="J159" i="9" s="1"/>
  <c r="F158" i="9"/>
  <c r="I158" i="9" s="1"/>
  <c r="C155" i="9"/>
  <c r="K153" i="9"/>
  <c r="F152" i="9"/>
  <c r="I152" i="9" s="1"/>
  <c r="C151" i="9"/>
  <c r="K149" i="9"/>
  <c r="B185" i="9"/>
  <c r="E182" i="9"/>
  <c r="B181" i="9"/>
  <c r="G179" i="9"/>
  <c r="J179" i="9" s="1"/>
  <c r="K174" i="9"/>
  <c r="G172" i="9"/>
  <c r="J172" i="9" s="1"/>
  <c r="C169" i="9"/>
  <c r="B166" i="9"/>
  <c r="E163" i="9"/>
  <c r="K160" i="9"/>
  <c r="E158" i="9"/>
  <c r="B155" i="9"/>
  <c r="G153" i="9"/>
  <c r="J153" i="9" s="1"/>
  <c r="B151" i="9"/>
  <c r="B169" i="9"/>
  <c r="F164" i="9"/>
  <c r="I164" i="9" s="1"/>
  <c r="C163" i="9"/>
  <c r="E159" i="9"/>
  <c r="K154" i="9"/>
  <c r="C152" i="9"/>
  <c r="K90" i="9"/>
  <c r="C90" i="9"/>
  <c r="B90" i="9"/>
  <c r="B16" i="31"/>
  <c r="K91" i="9"/>
  <c r="G90" i="9"/>
  <c r="J90" i="9" s="1"/>
  <c r="F90" i="9"/>
  <c r="I90" i="9" s="1"/>
  <c r="E90" i="9"/>
  <c r="C101" i="9"/>
  <c r="B101" i="9"/>
  <c r="K100" i="9"/>
  <c r="G100" i="9"/>
  <c r="J100" i="9" s="1"/>
  <c r="F100" i="9"/>
  <c r="I100" i="9" s="1"/>
  <c r="C100" i="9"/>
  <c r="B100" i="9"/>
  <c r="K101" i="9"/>
  <c r="F101" i="9"/>
  <c r="I101" i="9" s="1"/>
  <c r="G101" i="9"/>
  <c r="J101" i="9" s="1"/>
  <c r="E100" i="9"/>
  <c r="E101" i="9"/>
  <c r="I24" i="27"/>
  <c r="I35" i="27" s="1"/>
  <c r="B97" i="9"/>
  <c r="C98" i="9"/>
  <c r="C96" i="9"/>
  <c r="B98" i="9"/>
  <c r="B96" i="9"/>
  <c r="K97" i="9"/>
  <c r="B95" i="9"/>
  <c r="A105" i="9" s="1"/>
  <c r="C97" i="9"/>
  <c r="K99" i="9"/>
  <c r="C99" i="9"/>
  <c r="B99" i="9"/>
  <c r="K98" i="9"/>
  <c r="K96" i="9"/>
  <c r="F96" i="9"/>
  <c r="I96" i="9" s="1"/>
  <c r="G96" i="9"/>
  <c r="J96" i="9" s="1"/>
  <c r="E96" i="9"/>
  <c r="G98" i="9"/>
  <c r="J98" i="9" s="1"/>
  <c r="G99" i="9"/>
  <c r="J99" i="9" s="1"/>
  <c r="F99" i="9"/>
  <c r="I99" i="9" s="1"/>
  <c r="F98" i="9"/>
  <c r="I98" i="9" s="1"/>
  <c r="E98" i="9"/>
  <c r="E99" i="9"/>
  <c r="G97" i="9"/>
  <c r="J97" i="9" s="1"/>
  <c r="F97" i="9"/>
  <c r="I97" i="9" s="1"/>
  <c r="E97" i="9"/>
  <c r="K121" i="9"/>
  <c r="B120" i="9"/>
  <c r="C121" i="9"/>
  <c r="K122" i="9"/>
  <c r="C122" i="9"/>
  <c r="B121" i="9"/>
  <c r="G122" i="9"/>
  <c r="J122" i="9" s="1"/>
  <c r="C120" i="9"/>
  <c r="K120" i="9"/>
  <c r="F122" i="9"/>
  <c r="I122" i="9" s="1"/>
  <c r="G120" i="9"/>
  <c r="J120" i="9" s="1"/>
  <c r="E122" i="9"/>
  <c r="K117" i="9"/>
  <c r="C117" i="9"/>
  <c r="B122" i="9"/>
  <c r="B117" i="9"/>
  <c r="G117" i="9"/>
  <c r="J117" i="9" s="1"/>
  <c r="G121" i="9"/>
  <c r="J121" i="9" s="1"/>
  <c r="F117" i="9"/>
  <c r="I117" i="9" s="1"/>
  <c r="E117" i="9"/>
  <c r="F91" i="9"/>
  <c r="I91" i="9" s="1"/>
  <c r="C92" i="9"/>
  <c r="E91" i="9"/>
  <c r="B92" i="9"/>
  <c r="C91" i="9"/>
  <c r="B91" i="9"/>
  <c r="F92" i="9"/>
  <c r="I92" i="9" s="1"/>
  <c r="G91" i="9"/>
  <c r="J91" i="9" s="1"/>
  <c r="E92" i="9"/>
  <c r="K92" i="9"/>
  <c r="G92" i="9"/>
  <c r="J92" i="9" s="1"/>
  <c r="G87" i="9"/>
  <c r="J87" i="9" s="1"/>
  <c r="K89" i="9"/>
  <c r="C87" i="9"/>
  <c r="C89" i="9"/>
  <c r="B87" i="9"/>
  <c r="B89" i="9"/>
  <c r="K87" i="9"/>
  <c r="F89" i="9"/>
  <c r="I89" i="9" s="1"/>
  <c r="G89" i="9"/>
  <c r="J89" i="9" s="1"/>
  <c r="E89" i="9"/>
  <c r="B113" i="9"/>
  <c r="I44" i="27"/>
  <c r="I47" i="27" s="1"/>
  <c r="K114" i="9"/>
  <c r="C114" i="9"/>
  <c r="B114" i="9"/>
  <c r="B123" i="9"/>
  <c r="K123" i="9"/>
  <c r="C123" i="9"/>
  <c r="G123" i="9"/>
  <c r="J123" i="9" s="1"/>
  <c r="F123" i="9"/>
  <c r="I123" i="9" s="1"/>
  <c r="F46" i="9"/>
  <c r="F170" i="9" s="1"/>
  <c r="I170" i="9" s="1"/>
  <c r="F48" i="9"/>
  <c r="E31" i="9"/>
  <c r="E155" i="9" s="1"/>
  <c r="F93" i="9"/>
  <c r="I93" i="9" s="1"/>
  <c r="G93" i="9"/>
  <c r="J93" i="9" s="1"/>
  <c r="B93" i="9"/>
  <c r="K93" i="9"/>
  <c r="C93" i="9"/>
  <c r="H47" i="39"/>
  <c r="J22" i="28"/>
  <c r="K113" i="9"/>
  <c r="E57" i="9"/>
  <c r="E181" i="9" s="1"/>
  <c r="E19" i="9"/>
  <c r="B111" i="9"/>
  <c r="F47" i="9"/>
  <c r="F120" i="9" s="1"/>
  <c r="I120" i="9" s="1"/>
  <c r="G82" i="9"/>
  <c r="H118" i="39"/>
  <c r="G77" i="39" s="1"/>
  <c r="H77" i="39" s="1"/>
  <c r="H67" i="39"/>
  <c r="N50" i="9" s="1"/>
  <c r="E56" i="9"/>
  <c r="E180" i="9" s="1"/>
  <c r="E123" i="9"/>
  <c r="K109" i="9"/>
  <c r="B13" i="31"/>
  <c r="B14" i="31"/>
  <c r="G88" i="9"/>
  <c r="J88" i="9" s="1"/>
  <c r="B86" i="9"/>
  <c r="A94" i="9" s="1"/>
  <c r="K88" i="9"/>
  <c r="F107" i="9"/>
  <c r="G119" i="9"/>
  <c r="J119" i="9" s="1"/>
  <c r="G109" i="9"/>
  <c r="J109" i="9" s="1"/>
  <c r="B108" i="9"/>
  <c r="C118" i="9"/>
  <c r="K118" i="9"/>
  <c r="B109" i="9"/>
  <c r="K111" i="9"/>
  <c r="C113" i="9"/>
  <c r="B107" i="9"/>
  <c r="K119" i="9"/>
  <c r="B88" i="9"/>
  <c r="B112" i="9"/>
  <c r="B118" i="9"/>
  <c r="C109" i="9"/>
  <c r="K110" i="9"/>
  <c r="B106" i="9"/>
  <c r="A115" i="9" s="1"/>
  <c r="C119" i="9"/>
  <c r="C108" i="9"/>
  <c r="B15" i="31"/>
  <c r="G107" i="9"/>
  <c r="C107" i="9"/>
  <c r="C110" i="9"/>
  <c r="B110" i="9"/>
  <c r="B119" i="9"/>
  <c r="K112" i="9"/>
  <c r="B116" i="9"/>
  <c r="A124" i="9" s="1"/>
  <c r="K107" i="9"/>
  <c r="K108" i="9"/>
  <c r="C111" i="9"/>
  <c r="C112" i="9"/>
  <c r="G118" i="9"/>
  <c r="J118" i="9" s="1"/>
  <c r="E107" i="9"/>
  <c r="F25" i="9"/>
  <c r="F150" i="9" s="1"/>
  <c r="I150" i="9" s="1"/>
  <c r="F118" i="9"/>
  <c r="I118" i="9" s="1"/>
  <c r="C88" i="9"/>
  <c r="G81" i="9"/>
  <c r="J81" i="9" s="1"/>
  <c r="J21" i="28"/>
  <c r="J23" i="28" s="1"/>
  <c r="N22" i="9" s="1"/>
  <c r="B5" i="40"/>
  <c r="E143" i="9" l="1"/>
  <c r="E81" i="9"/>
  <c r="J105" i="9"/>
  <c r="I105" i="9"/>
  <c r="J60" i="9"/>
  <c r="J61" i="9"/>
  <c r="J55" i="9"/>
  <c r="J56" i="9"/>
  <c r="J57" i="9"/>
  <c r="J58" i="9"/>
  <c r="J59" i="9"/>
  <c r="J47" i="9"/>
  <c r="J31" i="9"/>
  <c r="J34" i="9"/>
  <c r="J26" i="9"/>
  <c r="J35" i="9"/>
  <c r="J27" i="9"/>
  <c r="J25" i="9"/>
  <c r="J28" i="9"/>
  <c r="J30" i="9"/>
  <c r="J39" i="9"/>
  <c r="J40" i="9"/>
  <c r="J41" i="9"/>
  <c r="J29" i="9"/>
  <c r="J42" i="9"/>
  <c r="I60" i="9"/>
  <c r="J19" i="9"/>
  <c r="I61" i="9"/>
  <c r="I55" i="9"/>
  <c r="I56" i="9"/>
  <c r="I58" i="9"/>
  <c r="I34" i="9"/>
  <c r="I30" i="9"/>
  <c r="I35" i="9"/>
  <c r="I28" i="9"/>
  <c r="I31" i="9"/>
  <c r="I27" i="9"/>
  <c r="I39" i="9"/>
  <c r="I40" i="9"/>
  <c r="I29" i="9"/>
  <c r="I41" i="9"/>
  <c r="I42" i="9"/>
  <c r="D51" i="9"/>
  <c r="D60" i="9"/>
  <c r="D55" i="9"/>
  <c r="D56" i="9"/>
  <c r="D57" i="9"/>
  <c r="D58" i="9"/>
  <c r="D59" i="9"/>
  <c r="D61" i="9"/>
  <c r="D48" i="9"/>
  <c r="D45" i="9"/>
  <c r="D49" i="9"/>
  <c r="D50" i="9"/>
  <c r="D41" i="9"/>
  <c r="D46" i="9"/>
  <c r="D52" i="9"/>
  <c r="D47" i="9"/>
  <c r="D35" i="9"/>
  <c r="D36" i="9"/>
  <c r="D38" i="9"/>
  <c r="D39" i="9"/>
  <c r="D40" i="9"/>
  <c r="D30" i="9"/>
  <c r="D34" i="9"/>
  <c r="D42" i="9"/>
  <c r="D31" i="9"/>
  <c r="D25" i="9"/>
  <c r="D26" i="9"/>
  <c r="D27" i="9"/>
  <c r="D28" i="9"/>
  <c r="D29" i="9"/>
  <c r="D19" i="9"/>
  <c r="D21" i="9"/>
  <c r="D20" i="9"/>
  <c r="F121" i="9"/>
  <c r="I121" i="9" s="1"/>
  <c r="H121" i="9" s="1"/>
  <c r="F87" i="9"/>
  <c r="I87" i="9" s="1"/>
  <c r="F149" i="9"/>
  <c r="I149" i="9" s="1"/>
  <c r="I156" i="9" s="1"/>
  <c r="H102" i="9"/>
  <c r="H104" i="9"/>
  <c r="H153" i="9"/>
  <c r="H103" i="9"/>
  <c r="H101" i="9"/>
  <c r="H159" i="9"/>
  <c r="H170" i="9"/>
  <c r="F172" i="9"/>
  <c r="I172" i="9" s="1"/>
  <c r="H172" i="9" s="1"/>
  <c r="H163" i="9"/>
  <c r="H166" i="9"/>
  <c r="H181" i="9"/>
  <c r="H165" i="9"/>
  <c r="H150" i="9"/>
  <c r="H152" i="9"/>
  <c r="H154" i="9"/>
  <c r="I186" i="9"/>
  <c r="H151" i="9"/>
  <c r="H185" i="9"/>
  <c r="H180" i="9"/>
  <c r="H164" i="9"/>
  <c r="H169" i="9"/>
  <c r="H158" i="9"/>
  <c r="H155" i="9"/>
  <c r="H184" i="9"/>
  <c r="J156" i="9"/>
  <c r="F171" i="9"/>
  <c r="I171" i="9" s="1"/>
  <c r="H171" i="9" s="1"/>
  <c r="J186" i="9"/>
  <c r="H179" i="9"/>
  <c r="H182" i="9"/>
  <c r="H183" i="9"/>
  <c r="G174" i="9"/>
  <c r="J174" i="9" s="1"/>
  <c r="G173" i="9"/>
  <c r="J173" i="9" s="1"/>
  <c r="F22" i="9"/>
  <c r="F146" i="9" s="1"/>
  <c r="I146" i="9" s="1"/>
  <c r="G146" i="9"/>
  <c r="J146" i="9" s="1"/>
  <c r="J94" i="9"/>
  <c r="H100" i="9"/>
  <c r="H90" i="9"/>
  <c r="N21" i="9"/>
  <c r="G83" i="9" s="1"/>
  <c r="J83" i="9" s="1"/>
  <c r="H97" i="9"/>
  <c r="H96" i="9"/>
  <c r="H99" i="9"/>
  <c r="H98" i="9"/>
  <c r="E93" i="9"/>
  <c r="H120" i="9"/>
  <c r="H117" i="9"/>
  <c r="H122" i="9"/>
  <c r="J124" i="9"/>
  <c r="H91" i="9"/>
  <c r="H89" i="9"/>
  <c r="H92" i="9"/>
  <c r="H119" i="39"/>
  <c r="H121" i="39" s="1"/>
  <c r="H68" i="39"/>
  <c r="H70" i="39" s="1"/>
  <c r="I49" i="27"/>
  <c r="H48" i="39"/>
  <c r="H50" i="39" s="1"/>
  <c r="H123" i="9"/>
  <c r="G108" i="9"/>
  <c r="F119" i="9"/>
  <c r="I119" i="9" s="1"/>
  <c r="H119" i="9" s="1"/>
  <c r="G110" i="9"/>
  <c r="J110" i="9" s="1"/>
  <c r="H93" i="9"/>
  <c r="F110" i="9"/>
  <c r="I110" i="9" s="1"/>
  <c r="E119" i="9"/>
  <c r="J82" i="9"/>
  <c r="J20" i="9" s="1"/>
  <c r="E47" i="9"/>
  <c r="F109" i="9"/>
  <c r="I109" i="9" s="1"/>
  <c r="H109" i="9" s="1"/>
  <c r="I81" i="9"/>
  <c r="I19" i="9" s="1"/>
  <c r="E48" i="9"/>
  <c r="E20" i="9"/>
  <c r="E144" i="9" s="1"/>
  <c r="F82" i="9"/>
  <c r="I82" i="9" s="1"/>
  <c r="I20" i="9" s="1"/>
  <c r="E46" i="9"/>
  <c r="F108" i="9"/>
  <c r="H90" i="39"/>
  <c r="H118" i="9"/>
  <c r="E25" i="9"/>
  <c r="J107" i="9"/>
  <c r="I107" i="9"/>
  <c r="F88" i="9"/>
  <c r="I88" i="9" s="1"/>
  <c r="I26" i="9" s="1"/>
  <c r="H105" i="9" l="1"/>
  <c r="H55" i="9"/>
  <c r="J62" i="9"/>
  <c r="I48" i="9"/>
  <c r="H47" i="9"/>
  <c r="H34" i="9"/>
  <c r="H59" i="9"/>
  <c r="H28" i="9"/>
  <c r="H31" i="9"/>
  <c r="H58" i="9"/>
  <c r="J45" i="9"/>
  <c r="J48" i="9"/>
  <c r="H56" i="9"/>
  <c r="H57" i="9"/>
  <c r="I59" i="9"/>
  <c r="H61" i="9"/>
  <c r="I57" i="9"/>
  <c r="I45" i="9"/>
  <c r="H35" i="9"/>
  <c r="I47" i="9"/>
  <c r="H87" i="9"/>
  <c r="I25" i="9"/>
  <c r="H60" i="9"/>
  <c r="H39" i="9"/>
  <c r="H27" i="9"/>
  <c r="H41" i="9"/>
  <c r="H42" i="9"/>
  <c r="H29" i="9"/>
  <c r="H40" i="9"/>
  <c r="H30" i="9"/>
  <c r="I94" i="9"/>
  <c r="H149" i="9"/>
  <c r="H156" i="9" s="1"/>
  <c r="E149" i="9"/>
  <c r="E87" i="9"/>
  <c r="E118" i="9"/>
  <c r="E170" i="9"/>
  <c r="E121" i="9"/>
  <c r="E172" i="9"/>
  <c r="H186" i="9"/>
  <c r="E150" i="9"/>
  <c r="E120" i="9"/>
  <c r="E171" i="9"/>
  <c r="H146" i="9"/>
  <c r="F21" i="9"/>
  <c r="F145" i="9" s="1"/>
  <c r="I145" i="9" s="1"/>
  <c r="I147" i="9" s="1"/>
  <c r="G145" i="9"/>
  <c r="J145" i="9" s="1"/>
  <c r="J21" i="9" s="1"/>
  <c r="H91" i="39"/>
  <c r="H93" i="39" s="1"/>
  <c r="N51" i="9"/>
  <c r="G111" i="9"/>
  <c r="J111" i="9" s="1"/>
  <c r="J49" i="9" s="1"/>
  <c r="F49" i="9"/>
  <c r="F173" i="9" s="1"/>
  <c r="I173" i="9" s="1"/>
  <c r="H81" i="9"/>
  <c r="H19" i="9" s="1"/>
  <c r="H110" i="9"/>
  <c r="H48" i="9" s="1"/>
  <c r="E109" i="9"/>
  <c r="E110" i="9"/>
  <c r="H82" i="9"/>
  <c r="H20" i="9" s="1"/>
  <c r="E82" i="9"/>
  <c r="G112" i="9"/>
  <c r="J112" i="9" s="1"/>
  <c r="F50" i="9"/>
  <c r="E108" i="9"/>
  <c r="J25" i="28"/>
  <c r="E88" i="9"/>
  <c r="H107" i="9"/>
  <c r="J32" i="9"/>
  <c r="I6" i="9"/>
  <c r="I108" i="9"/>
  <c r="J108" i="9"/>
  <c r="H88" i="9"/>
  <c r="F83" i="9" l="1"/>
  <c r="I83" i="9" s="1"/>
  <c r="I21" i="9" s="1"/>
  <c r="I62" i="9"/>
  <c r="H62" i="9"/>
  <c r="J46" i="9"/>
  <c r="H25" i="9"/>
  <c r="I46" i="9"/>
  <c r="H45" i="9"/>
  <c r="H94" i="9"/>
  <c r="H26" i="9"/>
  <c r="F174" i="9"/>
  <c r="I174" i="9" s="1"/>
  <c r="H174" i="9" s="1"/>
  <c r="E21" i="9"/>
  <c r="E145" i="9" s="1"/>
  <c r="G175" i="9"/>
  <c r="J175" i="9" s="1"/>
  <c r="G176" i="9"/>
  <c r="J176" i="9" s="1"/>
  <c r="H173" i="9"/>
  <c r="H145" i="9"/>
  <c r="H147" i="9" s="1"/>
  <c r="J147" i="9"/>
  <c r="G113" i="9"/>
  <c r="J113" i="9" s="1"/>
  <c r="G114" i="9"/>
  <c r="J114" i="9" s="1"/>
  <c r="C13" i="31"/>
  <c r="L13" i="31" s="1"/>
  <c r="I32" i="9"/>
  <c r="E49" i="9"/>
  <c r="E173" i="9" s="1"/>
  <c r="F51" i="9"/>
  <c r="H83" i="9"/>
  <c r="H21" i="9" s="1"/>
  <c r="E50" i="9"/>
  <c r="F112" i="9"/>
  <c r="I112" i="9" s="1"/>
  <c r="G84" i="9"/>
  <c r="J84" i="9" s="1"/>
  <c r="J22" i="9" s="1"/>
  <c r="H108" i="9"/>
  <c r="J52" i="9" l="1"/>
  <c r="E83" i="9"/>
  <c r="J51" i="9"/>
  <c r="J50" i="9"/>
  <c r="J177" i="9"/>
  <c r="J115" i="9"/>
  <c r="H46" i="9"/>
  <c r="F176" i="9"/>
  <c r="I176" i="9" s="1"/>
  <c r="H176" i="9" s="1"/>
  <c r="E174" i="9"/>
  <c r="F113" i="9"/>
  <c r="I113" i="9" s="1"/>
  <c r="F175" i="9"/>
  <c r="I175" i="9" s="1"/>
  <c r="F111" i="9"/>
  <c r="I111" i="9" s="1"/>
  <c r="F114" i="9"/>
  <c r="I114" i="9" s="1"/>
  <c r="E51" i="9"/>
  <c r="F13" i="31"/>
  <c r="I124" i="9"/>
  <c r="H112" i="9"/>
  <c r="H32" i="9"/>
  <c r="J23" i="9"/>
  <c r="C12" i="31" s="1"/>
  <c r="N12" i="31" s="1"/>
  <c r="E22" i="9"/>
  <c r="E146" i="9" s="1"/>
  <c r="E112" i="9"/>
  <c r="J85" i="9"/>
  <c r="F84" i="9"/>
  <c r="I84" i="9" s="1"/>
  <c r="I22" i="9" s="1"/>
  <c r="I50" i="9" l="1"/>
  <c r="I52" i="9"/>
  <c r="J53" i="9"/>
  <c r="C15" i="31" s="1"/>
  <c r="I49" i="9"/>
  <c r="I115" i="9"/>
  <c r="I177" i="9"/>
  <c r="J125" i="9"/>
  <c r="H113" i="9"/>
  <c r="I51" i="9"/>
  <c r="E176" i="9"/>
  <c r="H114" i="9"/>
  <c r="H52" i="9" s="1"/>
  <c r="H111" i="9"/>
  <c r="H175" i="9"/>
  <c r="H177" i="9" s="1"/>
  <c r="E113" i="9"/>
  <c r="E175" i="9"/>
  <c r="C16" i="31"/>
  <c r="J16" i="31" s="1"/>
  <c r="E111" i="9"/>
  <c r="E114" i="9"/>
  <c r="H124" i="9"/>
  <c r="I85" i="9"/>
  <c r="I23" i="9"/>
  <c r="E84" i="9"/>
  <c r="H84" i="9"/>
  <c r="H22" i="9" s="1"/>
  <c r="H51" i="9" l="1"/>
  <c r="H49" i="9"/>
  <c r="H115" i="9"/>
  <c r="I53" i="9"/>
  <c r="H50" i="9"/>
  <c r="H12" i="31"/>
  <c r="F12" i="31"/>
  <c r="J12" i="31"/>
  <c r="N16" i="31"/>
  <c r="I125" i="9"/>
  <c r="H16" i="31"/>
  <c r="L16" i="31"/>
  <c r="F16" i="31"/>
  <c r="H13" i="31"/>
  <c r="H85" i="9"/>
  <c r="H23" i="9"/>
  <c r="L12" i="31"/>
  <c r="J15" i="31"/>
  <c r="N15" i="31"/>
  <c r="L15" i="31"/>
  <c r="F15" i="31"/>
  <c r="H15" i="31"/>
  <c r="J13" i="31"/>
  <c r="N13" i="31"/>
  <c r="H125" i="9" l="1"/>
  <c r="I162" i="9" l="1"/>
  <c r="I38" i="9" s="1"/>
  <c r="J162" i="9"/>
  <c r="J38" i="9" s="1"/>
  <c r="J160" i="9"/>
  <c r="J36" i="9" s="1"/>
  <c r="H162" i="9" l="1"/>
  <c r="H38" i="9" s="1"/>
  <c r="I160" i="9"/>
  <c r="D161" i="9"/>
  <c r="D37" i="9" s="1"/>
  <c r="H160" i="9" l="1"/>
  <c r="H36" i="9" s="1"/>
  <c r="I36" i="9"/>
  <c r="J161" i="9"/>
  <c r="J37" i="9" s="1"/>
  <c r="J43" i="9" s="1"/>
  <c r="I161" i="9"/>
  <c r="C14" i="31" l="1"/>
  <c r="J63" i="9"/>
  <c r="I167" i="9"/>
  <c r="I187" i="9" s="1"/>
  <c r="I37" i="9"/>
  <c r="H161" i="9"/>
  <c r="J167" i="9"/>
  <c r="J187" i="9" s="1"/>
  <c r="I43" i="9" l="1"/>
  <c r="I63" i="9" s="1"/>
  <c r="P66" i="9" s="1"/>
  <c r="N66" i="9"/>
  <c r="L63" i="9"/>
  <c r="H14" i="31"/>
  <c r="H17" i="31" s="1"/>
  <c r="C17" i="31"/>
  <c r="D14" i="31" s="1"/>
  <c r="L14" i="31"/>
  <c r="L17" i="31" s="1"/>
  <c r="F14" i="31"/>
  <c r="F17" i="31" s="1"/>
  <c r="N14" i="31"/>
  <c r="N17" i="31" s="1"/>
  <c r="J14" i="31"/>
  <c r="J17" i="31" s="1"/>
  <c r="H167" i="9"/>
  <c r="H187" i="9" s="1"/>
  <c r="H53" i="9" s="1"/>
  <c r="H37" i="9"/>
  <c r="K17" i="31" l="1"/>
  <c r="H43" i="9"/>
  <c r="H63" i="9" s="1"/>
  <c r="F18" i="31"/>
  <c r="H18" i="31" s="1"/>
  <c r="J18" i="31" s="1"/>
  <c r="L18" i="31" s="1"/>
  <c r="N18" i="31" s="1"/>
  <c r="E17" i="31"/>
  <c r="E18" i="31" s="1"/>
  <c r="D12" i="31"/>
  <c r="D13" i="31"/>
  <c r="D16" i="31"/>
  <c r="D15" i="31"/>
  <c r="G17" i="31"/>
  <c r="I17" i="31"/>
  <c r="L66" i="9" l="1"/>
  <c r="O66" i="9"/>
  <c r="D17" i="31"/>
  <c r="G18" i="31"/>
  <c r="I18" i="31" s="1"/>
  <c r="K18" i="31" s="1"/>
  <c r="M18" i="31" s="1"/>
</calcChain>
</file>

<file path=xl/sharedStrings.xml><?xml version="1.0" encoding="utf-8"?>
<sst xmlns="http://schemas.openxmlformats.org/spreadsheetml/2006/main" count="869" uniqueCount="423">
  <si>
    <t>TIPO DE OBRA:</t>
  </si>
  <si>
    <t>SERVIÇOS</t>
  </si>
  <si>
    <t>m²</t>
  </si>
  <si>
    <t>m³</t>
  </si>
  <si>
    <t>m</t>
  </si>
  <si>
    <t>unid</t>
  </si>
  <si>
    <t>ITEM</t>
  </si>
  <si>
    <t>QUANTIDADE</t>
  </si>
  <si>
    <t>1.1</t>
  </si>
  <si>
    <t>1.2</t>
  </si>
  <si>
    <t>1.3</t>
  </si>
  <si>
    <t>1.4</t>
  </si>
  <si>
    <t>1.5</t>
  </si>
  <si>
    <t>2.1</t>
  </si>
  <si>
    <t>2.2</t>
  </si>
  <si>
    <t>2.3</t>
  </si>
  <si>
    <t>2.4</t>
  </si>
  <si>
    <t>2.5</t>
  </si>
  <si>
    <t>2.6</t>
  </si>
  <si>
    <t>TOTAL</t>
  </si>
  <si>
    <t>ÁREA TOTAL:</t>
  </si>
  <si>
    <t>LOCAL:</t>
  </si>
  <si>
    <t>UNID.</t>
  </si>
  <si>
    <t>TOTAL UNIT.</t>
  </si>
  <si>
    <t>SERVIÇOS INICIAIS</t>
  </si>
  <si>
    <t>SERVIÇOS TOPOGRÁFICOS PARA PAVIMENTAÇÃO</t>
  </si>
  <si>
    <t>3.1</t>
  </si>
  <si>
    <t>3.2</t>
  </si>
  <si>
    <t>3.3</t>
  </si>
  <si>
    <t>3.4</t>
  </si>
  <si>
    <t>4.1</t>
  </si>
  <si>
    <t>IMPRIMAÇÃO COM CM-30, INCLUSIVE ASFALTO E TRANSPORTE, TAXA= 0,8 L/M² A 1,6 L/M²</t>
  </si>
  <si>
    <t>SINALIZAÇÃO</t>
  </si>
  <si>
    <t>TOTAL GERAL DO ORÇAMENTO</t>
  </si>
  <si>
    <t xml:space="preserve">TRECHO: </t>
  </si>
  <si>
    <t>ÁREA:</t>
  </si>
  <si>
    <t>DESCRIÇÃO DOS SERVIÇOS</t>
  </si>
  <si>
    <t>%</t>
  </si>
  <si>
    <t>1º MÊS</t>
  </si>
  <si>
    <t>2º MÊS</t>
  </si>
  <si>
    <t>3º MÊS</t>
  </si>
  <si>
    <t>4º MÊS</t>
  </si>
  <si>
    <t>% mês</t>
  </si>
  <si>
    <t>R$</t>
  </si>
  <si>
    <t>TOTAIS</t>
  </si>
  <si>
    <t>TOTAL ACUMULADO (R$)</t>
  </si>
  <si>
    <t>CONSTRUÇÃO DE FERROVIAS E RODOVIAS</t>
  </si>
  <si>
    <t xml:space="preserve">TOMADOR: </t>
  </si>
  <si>
    <t>NOME DA OBRA:</t>
  </si>
  <si>
    <t>CONTRIBUIÇÃO PREVIDENCIÁRIA:</t>
  </si>
  <si>
    <t>TOTAL GERAL</t>
  </si>
  <si>
    <t>Cálculo do BDI – Conforme o Acórdão 2.622/2013 – TCU – PLENÁRIO</t>
  </si>
  <si>
    <t>Tipo de Obra</t>
  </si>
  <si>
    <t>Item Componente</t>
  </si>
  <si>
    <t>Taxas de BDI (%)</t>
  </si>
  <si>
    <t>Valores</t>
  </si>
  <si>
    <t>1° Quartil</t>
  </si>
  <si>
    <t>Médio</t>
  </si>
  <si>
    <t>3° Quartil</t>
  </si>
  <si>
    <t>Propostos (%)</t>
  </si>
  <si>
    <t>Administração Central (AC)</t>
  </si>
  <si>
    <t>Seguro + Garantia (S+G)</t>
  </si>
  <si>
    <t>Riscos (R)</t>
  </si>
  <si>
    <t>Despesas Financeiras (DF)</t>
  </si>
  <si>
    <t>Lucro (L)</t>
  </si>
  <si>
    <t>Tributos - ISS, PIS, COFINS, CPRB - (T)</t>
  </si>
  <si>
    <t>Conforme legislação específica</t>
  </si>
  <si>
    <t>Adotado/Calculado</t>
  </si>
  <si>
    <t>Fórmula utilizada para o cálculo (Acórdão 2.622/2013 – TCU – PLENÁRIO):</t>
  </si>
  <si>
    <t>DF=</t>
  </si>
  <si>
    <t>BDI = {[(1 + AC + S + R + G) x (1 + DF) x (1 + L)] / (1 – T)} - 1</t>
  </si>
  <si>
    <t>Onde:</t>
  </si>
  <si>
    <t>PIS = 0,65 %</t>
  </si>
  <si>
    <t>COFINS = 3,00 %</t>
  </si>
  <si>
    <t xml:space="preserve"> </t>
  </si>
  <si>
    <t>T</t>
  </si>
  <si>
    <t>TXKM</t>
  </si>
  <si>
    <t>CHP</t>
  </si>
  <si>
    <t>CHI</t>
  </si>
  <si>
    <t>h</t>
  </si>
  <si>
    <t xml:space="preserve"> CHP </t>
  </si>
  <si>
    <t>TANQUE DE ASFALTO ESTACIONÁRIO COM SERPENTINA, CAPACIDADE 30.000 L - CHP DIURNO. AF_06/2014</t>
  </si>
  <si>
    <t>VASSOURA MECÂNICA REBOCÁVEL C/ ESCOVA CILÍNDRICA LARGURA = 2,44M - CHP DIURNO</t>
  </si>
  <si>
    <t>kg</t>
  </si>
  <si>
    <t>MÃO DE OBRA</t>
  </si>
  <si>
    <t>RASTELEIRO COM ENCARGOS COMPLEMENTARES</t>
  </si>
  <si>
    <t>MATERIAL</t>
  </si>
  <si>
    <t>AREIA MEDIA</t>
  </si>
  <si>
    <t>PEDRA BRITADA N. 0, OU PEDRISCO (4,8 A 9,5 MM) POSTO PEDREIRA/FORNECEDOR, SEM FRETE</t>
  </si>
  <si>
    <t>PEDRA BRITADA N. 1 OU 19 MM</t>
  </si>
  <si>
    <t>DEMONSTRATIVO DE MOBILIZAÇÃO E DESMOBILIZAÇÃO DE EQUIPAMENTOS</t>
  </si>
  <si>
    <t>Distâncias de Transporte:</t>
  </si>
  <si>
    <t>km</t>
  </si>
  <si>
    <t>Velocidade média (km/h):</t>
  </si>
  <si>
    <t>Tempo médio de viagem (h):</t>
  </si>
  <si>
    <t>Adotada:</t>
  </si>
  <si>
    <t>DESCRIÇÃO</t>
  </si>
  <si>
    <t>TEMPO DE VIAGEM</t>
  </si>
  <si>
    <t>REFERÊNCIA DE PREÇO</t>
  </si>
  <si>
    <t>NÚMERO DE VIAGENS</t>
  </si>
  <si>
    <t>VALOR UNITÁRIO (R$/H)</t>
  </si>
  <si>
    <t>VALOR TOTAL (R$)</t>
  </si>
  <si>
    <t>TABELA</t>
  </si>
  <si>
    <t>CÓDIGO</t>
  </si>
  <si>
    <t>Transporte de equipamentos pesados</t>
  </si>
  <si>
    <t>Deslocamento com cavalo mecânico + reboque</t>
  </si>
  <si>
    <t>SICRO 2</t>
  </si>
  <si>
    <t>Trator de esteiras</t>
  </si>
  <si>
    <t>Motoniveladora</t>
  </si>
  <si>
    <t>Retroescavadeira</t>
  </si>
  <si>
    <t>1.6</t>
  </si>
  <si>
    <t>Escavadeira hidráulica</t>
  </si>
  <si>
    <t>1.7</t>
  </si>
  <si>
    <t>Rolo compactador liso</t>
  </si>
  <si>
    <t>1.8</t>
  </si>
  <si>
    <t>Rolo compactador pneus</t>
  </si>
  <si>
    <t>1.9</t>
  </si>
  <si>
    <t>Rolo compactador pé de carneiro</t>
  </si>
  <si>
    <t>1.10</t>
  </si>
  <si>
    <t>Rolo compactador pé de tandem</t>
  </si>
  <si>
    <t>1.11</t>
  </si>
  <si>
    <t>Vibro-acabadora de asfalto</t>
  </si>
  <si>
    <t>Trator agrícola</t>
  </si>
  <si>
    <t>SUBTOTAL</t>
  </si>
  <si>
    <t>Deslocamento de veículos</t>
  </si>
  <si>
    <t>Distribuidor de asfalto</t>
  </si>
  <si>
    <t>Caminhão tanque</t>
  </si>
  <si>
    <t>Caminhão pipa</t>
  </si>
  <si>
    <t>Caminhão basculante 6 m³</t>
  </si>
  <si>
    <t>Caminhão basculante 10 m³</t>
  </si>
  <si>
    <t>Caminhão carroceria</t>
  </si>
  <si>
    <t>DEMONSTRATIVO DE ADMINISTRAÇÃO LOCAL</t>
  </si>
  <si>
    <t>USO PROD. (h)</t>
  </si>
  <si>
    <t>USO IMP. (h)</t>
  </si>
  <si>
    <t>VALOR HORA PRODUTIVO (R$/H)</t>
  </si>
  <si>
    <t>VALOR HORA IMPRODUTIVO (R$/H)</t>
  </si>
  <si>
    <t>Equipe Técnica da Obra</t>
  </si>
  <si>
    <t>Engenheiro Pleno</t>
  </si>
  <si>
    <t>SINAPI</t>
  </si>
  <si>
    <t>Encarregado Geral</t>
  </si>
  <si>
    <t>SERVENTE C/ INSALUBRIDADE</t>
  </si>
  <si>
    <t>CPRB sem des. =</t>
  </si>
  <si>
    <t>SELIC (Dezembro)</t>
  </si>
  <si>
    <t>CPRB = 0,00 %</t>
  </si>
  <si>
    <t>MAT.</t>
  </si>
  <si>
    <t>M.O.</t>
  </si>
  <si>
    <t>PAVIMENTAÇÃO</t>
  </si>
  <si>
    <t>TRATOR DE PNEUS, POTÊNCIA 85 CV, TRAÇÃO 4X4, PESO COM LASTRO DE 4.675 KG - CHP DIURNO. AF_06/2014</t>
  </si>
  <si>
    <t>4.3</t>
  </si>
  <si>
    <t>TERRAPLENAGEM</t>
  </si>
  <si>
    <t>4.2</t>
  </si>
  <si>
    <t>3.9</t>
  </si>
  <si>
    <t>Memória da cálculo das placas</t>
  </si>
  <si>
    <t>custo m²</t>
  </si>
  <si>
    <t>suporte</t>
  </si>
  <si>
    <t>área</t>
  </si>
  <si>
    <t>mês</t>
  </si>
  <si>
    <t>3.5</t>
  </si>
  <si>
    <t>3.6</t>
  </si>
  <si>
    <t>3.7</t>
  </si>
  <si>
    <t>3.8</t>
  </si>
  <si>
    <t>MOBILIZAÇÃO E DESMOBILIZAÇÃO DE EQUIPAMENTOS</t>
  </si>
  <si>
    <t>ORÇAMENTO SEM A DESONERAÇÂO PREVISTA
NA LEI 12.844/2013</t>
  </si>
  <si>
    <t>ADMINISTRAÇÃO LOCAL DE OBRA</t>
  </si>
  <si>
    <t>5º MÊS</t>
  </si>
  <si>
    <t>SINALIZAÇÃO HORIZONTAL ÁREAS ESPECIAIS</t>
  </si>
  <si>
    <t>SINALIZAÇÃO HORIZONTAL TINTA ACRÍLICA, COR AMARELA OU BRANCA (L= 12 CM)</t>
  </si>
  <si>
    <t>PREÇO FINAL</t>
  </si>
  <si>
    <t xml:space="preserve">USINAGEM DE CBUQ COM CAP 50/70, PARA CAPA DE ROLAMENTO </t>
  </si>
  <si>
    <t>VIBROACABADORA DE ASFALTO SOBRE ESTEIRAS, LARGURA DE PAVIMENTAÇÃO 1,90 M A 5,30 M, POTÊNCIA 105 HP CAPACIDADE 450 T/H - CHP DIURNO. AF_11/2014</t>
  </si>
  <si>
    <t>VIBROACABADORA DE ASFALTO SOBRE ESTEIRAS, LARGURA DE PAVIMENTAÇÃO 1,90 M A 5,30 M, POTÊNCIA 105 HP CAPACIDADE 450 T/H - CHI DIURNO. AF_11/2014</t>
  </si>
  <si>
    <t>ROLO COMPACTADOR VIBRATORIO TANDEM, ACO LISO, POTENCIA 125 HP, PESO SEM/COM LASTRO 10,20/11,65 T, LARGURA DE TRABALHO 1,73 M - CHP DIURNO. AF_11/2016</t>
  </si>
  <si>
    <t>ROLO COMPACTADOR VIBRATORIO TANDEM, ACO LISO, POTENCIA 125 HP, PESO SEM/COM LASTRO 10,20/11,65 T, LARGURA DE TRABALHO 1,73 M - CHI DIURNO. AF_11/2016</t>
  </si>
  <si>
    <t>REFERÊNCIA</t>
  </si>
  <si>
    <t>UNIDADE</t>
  </si>
  <si>
    <t>COEFICIENTE</t>
  </si>
  <si>
    <t>TOTAL (R$)</t>
  </si>
  <si>
    <t>CUSTO UNIT. (R$)</t>
  </si>
  <si>
    <t>ORDEM</t>
  </si>
  <si>
    <t>BDI =</t>
  </si>
  <si>
    <t>OBS:</t>
  </si>
  <si>
    <t>TRATOR DE PNEUS COM POTÊNCIA DE 85 CV, TRAÇÃO 4X4, COM VASSOURA MECÂNICA ACOPLADA - CHI DIURNO. AF_02/2017</t>
  </si>
  <si>
    <t>TRATOR DE PNEUS COM POTÊNCIA DE 85 CV, TRAÇÃO 4X4, COM VASSOURA MECÂNICA ACOPLADA - CHP DIURNO. AF_03/2017</t>
  </si>
  <si>
    <t>ROLO COMPACTADOR DE PNEUS, ESTATICO, PRESSAO VARIAVEL, POTENCIA 110 HP, PESO SEM/COM LASTRO 10,8/27 T, LARGURA DE ROLAGEM 2,30 M - CHP DIURNO. AF_06/2017</t>
  </si>
  <si>
    <t>ROLO COMPACTADOR DE PNEUS, ESTATICO, PRESSAO VARIAVEL, POTENCIA 110 HP, PESO SEM/COM LASTRO 10,8/27 T, LARGURA DE ROLAGEM 2,30 M - CHI DIURNO. AF_06/2017</t>
  </si>
  <si>
    <t>CONPASUL</t>
  </si>
  <si>
    <t>GIOVANELLA</t>
  </si>
  <si>
    <t>TREVISAN</t>
  </si>
  <si>
    <t>DMT MÉDIA =</t>
  </si>
  <si>
    <t>Distância (km)</t>
  </si>
  <si>
    <t>LARGURA:</t>
  </si>
  <si>
    <t>EXTENSÃO:</t>
  </si>
  <si>
    <t>ALARGAMENTO:</t>
  </si>
  <si>
    <t>34723+21014</t>
  </si>
  <si>
    <t>SERVENTE COM ENCARGOS COMPLEMENTARES</t>
  </si>
  <si>
    <t>ESPARGIDOR DE ASFALTO PRESSURIZADO, TANQUE 6 M3 COM ISOLAÇÃO TÉRMICA AQUECIDO COM 2 MAÇARICOS, COM BARRA ESPARGIDORA 3,60 M, MONTADO SOBRE CAMINHÃO TOCO, PBT 14.300 KG, POTÊNCIA 185 CV - CHP DIURNO. AF_08/2015</t>
  </si>
  <si>
    <t>TRATOR DE PNEUS, POTÊNCIA 85 CV, TRAÇÃO 4X4, PESO COM LASTRO DE 4.675 KG - CHI DIURNO. AF_06/2014</t>
  </si>
  <si>
    <t>CAMINHÃO BASCULANTE 10 M3, TRUCADO CABINE SIMPLES, PESO BRUTO TOTAL 23.000 KG, CARGA ÚTIL MÁXIMA 15.935 KG, DISTÂNCIA ENTRE EIXOS 4,80 M, POTÊNCIA 230 CV INCLUSIVE CAÇAMBA METÁLICA - CHP DIURNO. AF_06/2014</t>
  </si>
  <si>
    <t>USINA DE MISTURA ASFÁLTICA À QUENTE, TIPO CONTRA FLUXO, PROD 40 A 80 TON/HORA - CHP DIURNO. AF_03/2016</t>
  </si>
  <si>
    <t>CUSTO (ton)</t>
  </si>
  <si>
    <t>CUSTO (m³)</t>
  </si>
  <si>
    <t>CUSTO (m²)</t>
  </si>
  <si>
    <t>No cálculo dos preços médios mensais divulgados no sítio eletrônico da ANP, somente são considerados os preços à vista dos produtos asfálticos, de acordo com suas regiões de origem, ponderados pelos respectivos volumes comercializados, com todos os impostos incluídos, exceto ICMS (em função das diferenças tributárias existentes entre as unidades da federação), PIS/Pasep e Cofins e sem inclusões de fretes entre origem e destino do produto.</t>
  </si>
  <si>
    <t>CIMENTO ASFALTICO DE PETROLEO A GRANEL (CAP) 50/70  (INCLUSIVE IMPOSTOS)</t>
  </si>
  <si>
    <t>ASFALTO DILUIDO DE PETROLEO CM-30 (INCLUSIVE IMPOSTOS)</t>
  </si>
  <si>
    <t>A9321</t>
  </si>
  <si>
    <t>E9509</t>
  </si>
  <si>
    <t>E9669</t>
  </si>
  <si>
    <t>E9506</t>
  </si>
  <si>
    <t>E9579</t>
  </si>
  <si>
    <t>E9508</t>
  </si>
  <si>
    <t>SINAPI - SISTEMA NACIONAL DE PESQUISA DE CUSTOS E ÍNDICES DA CONSTRUÇÃO CIVIL (COMPOSIÇÃO DE PREÇOS UNITÁRIOS)</t>
  </si>
  <si>
    <t>BASE/CBUQ</t>
  </si>
  <si>
    <t>BDI:</t>
  </si>
  <si>
    <t>IMPLANTAÇÃO DE PLACA DE OBRA (1,20X2,40M)</t>
  </si>
  <si>
    <t>EXECUÇÃO DE PINTURA DE LIGAÇÃO COM EMULSÃO ASFÁLTICA RR-2C. AF_11/2019</t>
  </si>
  <si>
    <t>Considerado: 1,65% PIS, 7,6% COFINS</t>
  </si>
  <si>
    <t>VASSOURA MECÂNICA REBOCÁVEL COM ESCOVA CILÍNDRICA, LARGURA ÚTIL DE VARRIMENTO DE 2,44 M - CHP DIURNO. AF_06/2014</t>
  </si>
  <si>
    <t>VASSOURA MECÂNICA REBOCÁVEL COM ESCOVA CILÍNDRICA, LARGURA ÚTIL DE VARRIMENTO DE 2,44 M - CHI DIURNO. AF_06/2014</t>
  </si>
  <si>
    <t>ESPARGIDOR DE ASFALTO PRESSURIZADO, TANQUE 6 M3 COM ISOLAÇÃO TÉRMICA AQUECIDO COM 2 MAÇARICOS, COM BARRA ESPARGIDORA 3,60 M, MONTADO SOBRE
 CAMINHÃO TOCO, PBT 14.300 KG, POTÊNCIA 185 CV - CHP DIURNO. AF_08/2015</t>
  </si>
  <si>
    <t>TRANSPORTE COM CAMINHÃO TANQUE DE TRANSPORTE DE MATERIAL ASFÁLTICO DE 20000 L, EM VIA URBANA PAVIMENTADA, DMT 70 KM (UNIDADE: TXKM). AF_07/2020</t>
  </si>
  <si>
    <t>TRANSPORTE COM CAMINHÃO TANQUE DE TRANSPORTE DE MATERIAL ASFÁLTICO DE 20000 L, EM VIA URBANA PAVIMENTADA, DMT 30 KM (UNIDADE: TXKM). AF_07/2020</t>
  </si>
  <si>
    <t>ESPARGIDOR DE ASFALTO PRESSURIZADO, TANQUE 6 M3 COM ISOLAÇÃO TÉRMICA, AQUE CHICIDO COM 2 MAÇARICOS, COM BARRA ESPARGIDORA 3,60 M, MONTADO SOBRE CAMINHÃO TOCO, PBT 14.300 KG, POTÊNCIA 185 CV - CHI DIURNO. AF_08/2015</t>
  </si>
  <si>
    <t xml:space="preserve"> CHI </t>
  </si>
  <si>
    <t>CPU 02</t>
  </si>
  <si>
    <t>CPU 01</t>
  </si>
  <si>
    <t>EXECUÇÃO DE IMPRIMAÇÃO COM ASFALTO DILUÍDO CM-30. AF_11/2019</t>
  </si>
  <si>
    <t>ESCAVAÇÃO HORIZONTAL, INCLUINDO CARGA, DESCARGA E TRANSPORTE EM SOLO DE 1A CATEGORIA COM TRATOR DE ESTEIRAS (125HP/LÂMINA: 2,70M3) E CAMINHÃO BASCULANTE DE 10M3, DMT ATÉ 200M. AF_07/2020</t>
  </si>
  <si>
    <t>REGULARIZAÇÃO E COMPACTAÇÃO DE SUBLEITO DE SOLO PREDOMINANTEMENTE ARGILOSO. AF_11/2019</t>
  </si>
  <si>
    <t>m³ x km</t>
  </si>
  <si>
    <t>E9571</t>
  </si>
  <si>
    <t>SICRO JANEIRO/2021</t>
  </si>
  <si>
    <t>RIO GRANDE DO SUL</t>
  </si>
  <si>
    <t>ENCARGOS SOCIAIS SOBRE A MÃO DE OBRA</t>
  </si>
  <si>
    <t>SEM DESONERAÇÃO</t>
  </si>
  <si>
    <t>COM DESONERAÇÃO</t>
  </si>
  <si>
    <t>HORISTA</t>
  </si>
  <si>
    <t>MENSALISTA</t>
  </si>
  <si>
    <t>GRUPO A</t>
  </si>
  <si>
    <t>A1</t>
  </si>
  <si>
    <t>INSS</t>
  </si>
  <si>
    <t>A2</t>
  </si>
  <si>
    <t>SESI</t>
  </si>
  <si>
    <t>A3</t>
  </si>
  <si>
    <t>SENAI</t>
  </si>
  <si>
    <t>A4</t>
  </si>
  <si>
    <t>INCRA</t>
  </si>
  <si>
    <t>A5</t>
  </si>
  <si>
    <t>SEBRAE</t>
  </si>
  <si>
    <t>A6</t>
  </si>
  <si>
    <t>Salário Educação</t>
  </si>
  <si>
    <t>A7</t>
  </si>
  <si>
    <t>Seguro Contra Acidentes de Trabalho</t>
  </si>
  <si>
    <t>A8</t>
  </si>
  <si>
    <t>FGTS</t>
  </si>
  <si>
    <t>A9</t>
  </si>
  <si>
    <t>SECONCI</t>
  </si>
  <si>
    <t>A</t>
  </si>
  <si>
    <t>Total</t>
  </si>
  <si>
    <t>GRUPO B</t>
  </si>
  <si>
    <t>B1</t>
  </si>
  <si>
    <t>Repouso Semanal Remunerado</t>
  </si>
  <si>
    <t>Não incide</t>
  </si>
  <si>
    <t>B2</t>
  </si>
  <si>
    <t>Feriados</t>
  </si>
  <si>
    <t>B3</t>
  </si>
  <si>
    <t>Auxílio - Enfermidade</t>
  </si>
  <si>
    <t>B4</t>
  </si>
  <si>
    <t>13º Salário</t>
  </si>
  <si>
    <t>B5</t>
  </si>
  <si>
    <t>Licença Paternidade</t>
  </si>
  <si>
    <t>B6</t>
  </si>
  <si>
    <t>Faltas Justificadas</t>
  </si>
  <si>
    <t>B7</t>
  </si>
  <si>
    <t>Dias de Chuvas</t>
  </si>
  <si>
    <t>B8</t>
  </si>
  <si>
    <t>Auxílio Acidente de Trabalho</t>
  </si>
  <si>
    <t>B9</t>
  </si>
  <si>
    <t>Férias Gozadas</t>
  </si>
  <si>
    <t>B10</t>
  </si>
  <si>
    <t>Salário Maternidade</t>
  </si>
  <si>
    <t>B</t>
  </si>
  <si>
    <t>GRUPO C</t>
  </si>
  <si>
    <t>C1</t>
  </si>
  <si>
    <t>Aviso Prévio Indenizado</t>
  </si>
  <si>
    <t>C2</t>
  </si>
  <si>
    <t>Aviso Prévio Trabalhado</t>
  </si>
  <si>
    <t>C3</t>
  </si>
  <si>
    <t>Férias Indenizadas</t>
  </si>
  <si>
    <t>C4</t>
  </si>
  <si>
    <t>Depósito Rescisão Sem Justa Causa</t>
  </si>
  <si>
    <t>C5</t>
  </si>
  <si>
    <t>Indenização Adicional</t>
  </si>
  <si>
    <t>C</t>
  </si>
  <si>
    <t>GRUPO D</t>
  </si>
  <si>
    <t>D1</t>
  </si>
  <si>
    <t>Reincidência de Grupo A sobre Grupo B</t>
  </si>
  <si>
    <t>D2</t>
  </si>
  <si>
    <t>Reincidência de Grupo A sobre Aviso Prévio Trabalhado e Reincidência do FGTS sobre Aviso Prévio Indenizado</t>
  </si>
  <si>
    <t>D</t>
  </si>
  <si>
    <t>TOTAL(A+B+C+D)</t>
  </si>
  <si>
    <t>Média:</t>
  </si>
  <si>
    <t>ENCARGOS SOCIAIS SOBRE PREÇOS DA MÃO-DE-OBRA: 110,61% (HORA)  68,86% (MÊS)</t>
  </si>
  <si>
    <t>ISS = 2,50 %</t>
  </si>
  <si>
    <t>Total de Tributos (T) = 6,15 %</t>
  </si>
  <si>
    <t>CPU 05 (96401)</t>
  </si>
  <si>
    <t>CPU 06 (96402)</t>
  </si>
  <si>
    <t>CPU 07 (95995)</t>
  </si>
  <si>
    <t>CPU 03</t>
  </si>
  <si>
    <t>CPU 04</t>
  </si>
  <si>
    <t>96401 - CPU 05</t>
  </si>
  <si>
    <t>96402 - CPU 06</t>
  </si>
  <si>
    <t>95995 - CPU 07</t>
  </si>
  <si>
    <t>M</t>
  </si>
  <si>
    <t>M2</t>
  </si>
  <si>
    <t>PLACA DE SINALIZACAO EM CHAPA DE ACO NUM 16 COM PINTURA REFLETIVA</t>
  </si>
  <si>
    <t>TUBO ACO GALVANIZADO COM COSTURA, CLASSE LEVE, DN 65 MM ( 2 1/2"),  E = 3,35 MM, * 6,23* KG/M (NBR 5580)</t>
  </si>
  <si>
    <t>M3</t>
  </si>
  <si>
    <t>SARRAFO NAO APARELHADO *2,5 X 10* CM, EM MACARANDUBA, ANGELIM OU EQUIVALENTE DA REGIAO -  BRUTA</t>
  </si>
  <si>
    <t>TOPOGRAFO COM ENCARGOS COMPLEMENTARES</t>
  </si>
  <si>
    <t>AUXILIAR DE TOPÓGRAFO COM ENCARGOS COMPLEMENTARES</t>
  </si>
  <si>
    <t>CAMINHONETE CABINE SIMPLES COM MOTOR 1.6 FLEX, CÂMBIO MANUAL, POTÊNCIA 101/104 CV, 2 PORTAS - CHP DIURNO. AF_11/2015</t>
  </si>
  <si>
    <t>NIVELADOR COM ENCARGOS COMPLEMENTARES</t>
  </si>
  <si>
    <t>SERVICOS TOPOGRAFICOS PARA PAVIMENTACAO, INCLUSIVE NOTA DE SERVICOS, ACOMPANHAMENTO E GREIDE</t>
  </si>
  <si>
    <t>USINAGEM DE CONCRETO ASFÁLTICO COM CAP 50/70, PARA CAMADA DE ROLAMENTO, PADRÃO DNIT FAIXA C, EM USINA DE ASFALTO CONTÍNUA DE 80 TON/H. AF_03/2020</t>
  </si>
  <si>
    <t>CAL HIDRATADA CH-I PARA ARGAMASSAS</t>
  </si>
  <si>
    <t>PÁ CARREGADEIRA SOBRE RODAS, POTÊNCIA LÍQUIDA 128 HP, CAPACIDADE DA CAÇAMBA 1,7 A 2,8 M3, PESO OPERACIONAL 11632 KG - CHP DIURNO. AF_06/2014</t>
  </si>
  <si>
    <t>PÁ CARREGADEIRA SOBRE RODAS, POTÊNCIA LÍQUIDA 128 HP, CAPACIDADE DA CAÇAMBA 1,7 A 2,8 M3, PESO OPERACIONAL 11632 KG - CHI DIURNO. AF_06/2014</t>
  </si>
  <si>
    <t>ENCARREGADO GERAL COM ENCARGOS COMPLEMENTARES</t>
  </si>
  <si>
    <t>USINA DE MISTURA ASFÁLTICA À QUENTE, TIPO CONTRA FLUXO, PROD 40 A 80 TON/HORA - CHI DIURNO. AF_03/2016</t>
  </si>
  <si>
    <t>GRUPO GERADOR COM CARENAGEM, MOTOR DIESEL POTÊNCIA STANDART ENTRE 250 E 260 KVA - CHP DIURNO. AF_12/2016</t>
  </si>
  <si>
    <t>GRUPO GERADOR COM CARENAGEM, MOTOR DIESEL POTÊNCIA STANDART ENTRE 250 E 260 KVA - CHI DIURNO. AF_12/2016</t>
  </si>
  <si>
    <t>101021 - CPU 08</t>
  </si>
  <si>
    <t>EXECUÇÃO DE PAVIMENTO COM APLICAÇÃO DE CONCRETO ASFÁLTICO, CAMADA DE ROLAMENTO - EXCLUSIVE CARGA E TRANSPORTE. AF_11/2019</t>
  </si>
  <si>
    <t>CRUZEIRO DO SUL/RS</t>
  </si>
  <si>
    <t>RODOVIA RS 130</t>
  </si>
  <si>
    <t>PREFEITURA MUNICIPAL DE CRUZEIRO DO SUL</t>
  </si>
  <si>
    <t>CRUZEIRO DO SUL - RS</t>
  </si>
  <si>
    <t>JUNHO</t>
  </si>
  <si>
    <t>JULHO</t>
  </si>
  <si>
    <t>AGOSTO</t>
  </si>
  <si>
    <t>PLACA RETANGULAR 1,20 x 2,40 M (INFORMAÇÃO) - SUPORTE METÁLICO</t>
  </si>
  <si>
    <t>REF. TÉCNICA 
SINAPI AGO/2021
SICRO JAN/21</t>
  </si>
  <si>
    <t>sicro 5213401</t>
  </si>
  <si>
    <t>sicro 5213405</t>
  </si>
  <si>
    <t>EMULSAO ASFALTICA CATIONICA RR-2C PARA USO EM PAVIMENTACAO ASFALTICA (COLETADO CAIXA NA ANP - ACRESCIDO DE ICMS, PIS E COFINS)</t>
  </si>
  <si>
    <t>SINAPI AGO/2021</t>
  </si>
  <si>
    <t>BDI ADOTADO = 24,23%</t>
  </si>
  <si>
    <t>AQUISIÇÃO DE ARGILA PROVENIENTE DE JAZIDA</t>
  </si>
  <si>
    <t>4.4</t>
  </si>
  <si>
    <t>LIMPEZA DA SUPERFÍCIE PARA APLICAÇÃO DE SINALIZAÇÃO</t>
  </si>
  <si>
    <t>4.5</t>
  </si>
  <si>
    <t>4.6</t>
  </si>
  <si>
    <t>4.7</t>
  </si>
  <si>
    <t>4.8</t>
  </si>
  <si>
    <t>sicro 5219606</t>
  </si>
  <si>
    <t>TACHA BIDIRECIONAL</t>
  </si>
  <si>
    <t>DRENAGEM</t>
  </si>
  <si>
    <t>5.1</t>
  </si>
  <si>
    <t>5.2</t>
  </si>
  <si>
    <t>5.3</t>
  </si>
  <si>
    <t>5.4</t>
  </si>
  <si>
    <t>5.5</t>
  </si>
  <si>
    <t>5.6</t>
  </si>
  <si>
    <t>5.7</t>
  </si>
  <si>
    <t>ESCAVAÇÃO MECANIZADA DE VALA COM PROF. ATÉ 1,5 M(MÉDIA ENTRE MONTANTE E JUSANTE/UMA COMPOSIÇÃO POR TRECHO), COM ESCAVADEIRA HIDRÁULICA (0,8 M3), LARG. DE 1,5M A 2,5 M, EM SOLO DE 1A CATEGORIA, LOCAIS COM BAIXO NÍVEL DE INTERFERÊNCIA. AF_02/2021</t>
  </si>
  <si>
    <t>REATERRO MECANIZADO DE VALA COM ESCAVADEIRA HIDRÁULICA (CAPACIDADE DA CAÇAMBA: 0,8 M³ / POTÊNCIA: 111 HP), LARGURA ATÉ 1,5 M, PROFUNDIDADE DE 1,5 A 3,0 M, COM SOLO DE 1ª CATEGORIA EM LOCAIS COM BAIXO NÍVEL DE INTERFERÊNCIA. AF_04/2016</t>
  </si>
  <si>
    <t>LASTRO DE BRITA PARA ASSENTAMENTO DOS TUBOS, EXCLUSIVE TRANPORTE</t>
  </si>
  <si>
    <t>2.7</t>
  </si>
  <si>
    <t>EXECUÇÃO E COMPACTAÇÃO DE ATERRO COM SOLO PREDOMINANTEMENTE ARGILOSO - EXCLUSIVE SOLO, ESCAVAÇÃO, CARGA E TRANSPORTE. AF_11/2019</t>
  </si>
  <si>
    <t>REMOÇÃO DE SOLOS MOLES PARA ATÉ 600 MCS</t>
  </si>
  <si>
    <t>sicro 5502927</t>
  </si>
  <si>
    <t>Construção de Rodovias e Ferrovias</t>
  </si>
  <si>
    <t>CRUZEIRO DO SUL/RS - RS</t>
  </si>
  <si>
    <t>CAIXA COLETORA COM PAREDES EM PEDRA GRÊS, 0,80x0,80, COM FUNDO E TAMPA DE CONCRETO</t>
  </si>
  <si>
    <t xml:space="preserve">unid. </t>
  </si>
  <si>
    <t>PEDREIRO COM ENCARGOS COMPLEMENTARES</t>
  </si>
  <si>
    <t>RETRO-ESCAVADEIRA, 4 X 4, 86 CV (VU= 5 ANOS) - CHP DIURNO</t>
  </si>
  <si>
    <t>PEDRA GRÊS 14X19X39 CM</t>
  </si>
  <si>
    <t>alterar aqui</t>
  </si>
  <si>
    <t>ARGAMASSA TRAÇO 1:4 (CIMENTO E AREIA MÉDIA), PREPARO MANUAL. AF_08/2014</t>
  </si>
  <si>
    <t>CONCRETO MAGRO PARA LASTRO FCK = 20MPA, TRAÇO 1:2,7:3 (CIMENTO/ AREIA MÉDIA/ BRITA 1)PREPARO MECÂNICO COM BETONEIRA 400 L. AF_07/2016</t>
  </si>
  <si>
    <t>TRANSPORTE COMERCIAL DE BRITA</t>
  </si>
  <si>
    <t>m³/km</t>
  </si>
  <si>
    <t>TAMPA CONCRETO (1,20X1,20X0,10M) / TAMPA DUPLA CONCRETO (1,20X0,60X0,10M)</t>
  </si>
  <si>
    <t>CONCRETO FCK = 20MPA, TRAÇO 1:2,7:3 (CIMENTO/ AREIA MÉDIA/ BRITA 1)PREPARO MECÂNICO COM BETONEIRA 400 L. AF_07/2016</t>
  </si>
  <si>
    <t>ACO CA-60 - 5,0MM</t>
  </si>
  <si>
    <t>ACO CA-50 - 12,5MM</t>
  </si>
  <si>
    <t>CUSTO (unid.)</t>
  </si>
  <si>
    <t>CPU 09</t>
  </si>
  <si>
    <t>TABUA MADEIRA 3A QUALIDADE 2,5 X 20CM (1 X 12") NAO APARELHADA</t>
  </si>
  <si>
    <t>ENCARGOS SOCIAIS ADOTADOS</t>
  </si>
  <si>
    <t>BDI = 24,23%</t>
  </si>
  <si>
    <t>Eng. Civil Lorenzo Schnorr Fornari</t>
  </si>
  <si>
    <t>CREA RS247702</t>
  </si>
  <si>
    <t>Prefeitura Municipal</t>
  </si>
  <si>
    <t>de Cruzeiro do Sul/RS</t>
  </si>
  <si>
    <t>Ref: SICRO JAN/21</t>
  </si>
  <si>
    <t>SINAPI AGOSTO/21</t>
  </si>
  <si>
    <t>LINHA SÍTIO</t>
  </si>
  <si>
    <t>LINHA SÍTIO - RUA DA ESCOLA</t>
  </si>
  <si>
    <t>ENTRE A RUA DA IGREJA E FINAL DO GINÁSIO ESPORTIVO</t>
  </si>
  <si>
    <t>LINHA SÍTIO - RUA DA IGREJA</t>
  </si>
  <si>
    <t>ENTRE A CASA MORTUÁRIA E PASSANDO A RUA DA ESCOLA</t>
  </si>
  <si>
    <t>EXECUÇÃO E COMPACTAÇÃO DE BASE E OU SUB BASE PARA PAVIMENTAÇÃO DE BRITA GRADUADA SIMPLES (E = 15 CM) - EXCLUSIVE CARGA E TRANSPORTE. AF_11/2019</t>
  </si>
  <si>
    <t>TUBO DE CONCRETO ARMADO PARA AGUAS PLUVIAIS, CLASSE PA-1, COM ENCAIXE MACHO FÊMEA, DIAMETRO NOMINAL DE 400 MM</t>
  </si>
  <si>
    <t>ASSENTAMENTO DE TUBO DE CONCRETO PARA REDES COLETORAS DE ÁGUAS PLUVIAIS, DIÂMETRO DE 400 MM, JUNTA RÍGIDA, INSTALADO EM LOCAL COM BAIXO NÍVEL DE INTERFERÊNCIAS (NÃO INCLUI FORNECIMENTO). AF_12/2015</t>
  </si>
  <si>
    <t>PLACA TIPO R01-REGULAMENTAÇÃO (PARADA OBRIGATÓRIA) - SUPORTE METÁLICO H= 2,20M, L = 33 CM</t>
  </si>
  <si>
    <t>CRONOGRAMA FÍSICO/FINANCEIRO - LINHA SÍTIO</t>
  </si>
  <si>
    <t>INFRAESTRUTURA E PAVIMENTAÇÃO ASFÁLTICA DA LINHA SÍTIO</t>
  </si>
  <si>
    <t>PLACA TIPO R19-REGULAMENTAÇÃO (VELOCIDADE MÁXIMA)  - SUPORTE METÁLICO H= 2,20M, DIAM = 50 CM</t>
  </si>
  <si>
    <t>TRANSPORTE COM CAMINHÃO BASCULANTE DE 10 M³, EM VIA URBANA EM REVESTIMENTO PRIMÁRIO, DMT 13,30 KM (UNIDADE: M3XKM). AF_07/2020</t>
  </si>
  <si>
    <t>TRANSPORTE COM CAMINHÃO BASCULANTE DE 10 M³, EM VIA URBANA EM REVESTIMENTO PRIMÁRIO, DMT 15,40 KM (UNIDADE: M3XKM). AF_07/2020</t>
  </si>
  <si>
    <t>TRANSPORTE COM CAMINHÃO BASCULANTE DE 10 M³, EM VIA URBANA PAVIMENTADA , DMT 26,30 KM (UNIDADE: M3XKM). AF_07/2020</t>
  </si>
  <si>
    <t>PLACA TIPO A-32b PASSAGEM DE PEDESTRES  - SUPORTE METÁLICO H = 2,20M, L = 50 CM</t>
  </si>
  <si>
    <t>TRANSPORTE COM CAMINHÃO BASCULANTE DE 10 M³, EM VIA URBANA PAVIMENTADA, DMT 26,30 KM (UNIDADE: M3XKM). AF_07/2020</t>
  </si>
  <si>
    <t xml:space="preserve">PLANILHA ORÇAMENTÁRIA </t>
  </si>
  <si>
    <t>TUBO DE CONCRETO SIMPLES PARA AGUAS PLUVIAIS, CLASSE PS-1, COM ENCAIXE MACHO FÊMEA, DIAMETRO NOMINAL DE 400 MM</t>
  </si>
  <si>
    <t>lore</t>
  </si>
  <si>
    <t>CONCRETO BETUMINOSO USINADO QUENTE (C.B.U.Q.), FORNECIMENTO E EXECUÇÃO (E= 4 CM)</t>
  </si>
  <si>
    <t>EXECUÇÃO E COMPACTAÇÃO DE BASE E OU SUB BASE PARA PAVIMENTAÇÃO DE MACADAME SECO (E = 15 CM) - EXCLUSIVE CARGA E TRANSPORTE. AF_11/2019</t>
  </si>
  <si>
    <t>TRANSPORTE COM CAMINHÃO BASCULANTE DE 10 M³, EM VIA URBANA EM REVESTIMENTO PRIMÁRIO, DMT 1,0 KM (UNIDADE: M3XKM). AF_07/2020</t>
  </si>
  <si>
    <t>Cruzeiro do Sul/RS, janeiro de 2022</t>
  </si>
</sst>
</file>

<file path=xl/styles.xml><?xml version="1.0" encoding="utf-8"?>
<styleSheet xmlns="http://schemas.openxmlformats.org/spreadsheetml/2006/main" xmlns:mc="http://schemas.openxmlformats.org/markup-compatibility/2006" xmlns:x14ac="http://schemas.microsoft.com/office/spreadsheetml/2009/9/ac" mc:Ignorable="x14ac">
  <numFmts count="15">
    <numFmt numFmtId="43" formatCode="_-* #,##0.00_-;\-* #,##0.00_-;_-* &quot;-&quot;??_-;_-@_-"/>
    <numFmt numFmtId="164" formatCode="_(* #,##0.00_);_(* \(#,##0.00\);_(* &quot;-&quot;??_);_(@_)"/>
    <numFmt numFmtId="165" formatCode="0.0"/>
    <numFmt numFmtId="166" formatCode="_(&quot;R$ &quot;* #,##0.00_);_(&quot;R$ &quot;* \(#,##0.00\);_(&quot;R$ &quot;* &quot;-&quot;??_);_(@_)"/>
    <numFmt numFmtId="167" formatCode="h:mm;@"/>
    <numFmt numFmtId="168" formatCode="_(* #,##0_);_(* \(#,##0\);_(* &quot;-&quot;??_);_(@_)"/>
    <numFmt numFmtId="169" formatCode="[$-F800]dddd\,\ mmmm\ dd\,\ yyyy"/>
    <numFmt numFmtId="170" formatCode="_-* #,##0.0000_-;\-* #,##0.0000_-;_-* &quot;-&quot;??_-;_-@_-"/>
    <numFmt numFmtId="171" formatCode="0.0%"/>
    <numFmt numFmtId="172" formatCode="_(* #,##0.000_);_(* \(#,##0.000\);_(* &quot;-&quot;??_);_(@_)"/>
    <numFmt numFmtId="173" formatCode="0.00000"/>
    <numFmt numFmtId="174" formatCode="_(* #,##0.0000_);_(* \(#,##0.0000\);_(* &quot;-&quot;??_);_(@_)"/>
    <numFmt numFmtId="175" formatCode="[$R$-416]&quot; &quot;#,##0.00;[Red]&quot;-&quot;[$R$-416]&quot; &quot;#,##0.00"/>
    <numFmt numFmtId="176" formatCode="#,##0.00&quot; &quot;;&quot;(&quot;#,##0.00&quot;)&quot;;&quot;-&quot;#&quot; &quot;;@&quot; &quot;"/>
    <numFmt numFmtId="177" formatCode="0.0000"/>
  </numFmts>
  <fonts count="87">
    <font>
      <sz val="10"/>
      <name val="Arial"/>
    </font>
    <font>
      <sz val="11"/>
      <color theme="1"/>
      <name val="Calibri"/>
      <family val="2"/>
      <scheme val="minor"/>
    </font>
    <font>
      <sz val="11"/>
      <color indexed="8"/>
      <name val="Calibri"/>
      <family val="2"/>
    </font>
    <font>
      <sz val="10"/>
      <name val="Arial"/>
      <family val="2"/>
    </font>
    <font>
      <sz val="10"/>
      <color indexed="24"/>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8"/>
      <name val="Times New Roman"/>
      <family val="1"/>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b/>
      <sz val="11"/>
      <color indexed="8"/>
      <name val="Calibri"/>
      <family val="2"/>
    </font>
    <font>
      <b/>
      <sz val="11.5"/>
      <name val="Arial"/>
      <family val="2"/>
    </font>
    <font>
      <sz val="11.5"/>
      <name val="Arial"/>
      <family val="2"/>
    </font>
    <font>
      <b/>
      <sz val="12"/>
      <name val="Arial"/>
      <family val="2"/>
    </font>
    <font>
      <sz val="10"/>
      <color indexed="22"/>
      <name val="Arial"/>
      <family val="2"/>
    </font>
    <font>
      <sz val="12"/>
      <name val="Arial"/>
      <family val="2"/>
    </font>
    <font>
      <sz val="10"/>
      <name val="Times New Roman"/>
      <family val="1"/>
    </font>
    <font>
      <b/>
      <sz val="11.5"/>
      <name val="Times New Roman"/>
      <family val="1"/>
    </font>
    <font>
      <sz val="11.5"/>
      <name val="Times New Roman"/>
      <family val="1"/>
    </font>
    <font>
      <u/>
      <sz val="11.5"/>
      <name val="Times New Roman"/>
      <family val="1"/>
    </font>
    <font>
      <b/>
      <sz val="10"/>
      <name val="Times New Roman"/>
      <family val="1"/>
    </font>
    <font>
      <b/>
      <sz val="16"/>
      <name val="Times New Roman"/>
      <family val="1"/>
    </font>
    <font>
      <b/>
      <sz val="12"/>
      <name val="Times New Roman"/>
      <family val="1"/>
    </font>
    <font>
      <b/>
      <sz val="11"/>
      <name val="Times New Roman"/>
      <family val="1"/>
    </font>
    <font>
      <b/>
      <sz val="14"/>
      <name val="Times New Roman"/>
      <family val="1"/>
    </font>
    <font>
      <sz val="11"/>
      <color theme="1"/>
      <name val="Calibri"/>
      <family val="2"/>
      <scheme val="minor"/>
    </font>
    <font>
      <b/>
      <sz val="11"/>
      <color rgb="FFFF0000"/>
      <name val="Arial1"/>
    </font>
    <font>
      <sz val="11"/>
      <color rgb="FF000000"/>
      <name val="Calibri"/>
      <family val="2"/>
    </font>
    <font>
      <sz val="11"/>
      <color rgb="FFFFFFFF"/>
      <name val="Calibri"/>
      <family val="2"/>
    </font>
    <font>
      <sz val="11"/>
      <color rgb="FF800080"/>
      <name val="Calibri"/>
      <family val="2"/>
    </font>
    <font>
      <b/>
      <sz val="11"/>
      <color rgb="FFFF9900"/>
      <name val="Calibri"/>
      <family val="2"/>
    </font>
    <font>
      <b/>
      <sz val="11"/>
      <color rgb="FFFFFFFF"/>
      <name val="Calibri"/>
      <family val="2"/>
    </font>
    <font>
      <sz val="11"/>
      <color theme="1"/>
      <name val="Arial1"/>
    </font>
    <font>
      <i/>
      <sz val="11"/>
      <color rgb="FF808080"/>
      <name val="Calibri"/>
      <family val="2"/>
    </font>
    <font>
      <sz val="11"/>
      <color rgb="FF008000"/>
      <name val="Calibri"/>
      <family val="2"/>
    </font>
    <font>
      <b/>
      <sz val="15"/>
      <color rgb="FF003366"/>
      <name val="Calibri"/>
      <family val="2"/>
    </font>
    <font>
      <b/>
      <sz val="13"/>
      <color rgb="FF003366"/>
      <name val="Calibri"/>
      <family val="2"/>
    </font>
    <font>
      <b/>
      <sz val="11"/>
      <color rgb="FF003366"/>
      <name val="Calibri"/>
      <family val="2"/>
    </font>
    <font>
      <sz val="11"/>
      <color rgb="FF333399"/>
      <name val="Calibri"/>
      <family val="2"/>
    </font>
    <font>
      <sz val="11"/>
      <color rgb="FFFF9900"/>
      <name val="Calibri"/>
      <family val="2"/>
    </font>
    <font>
      <sz val="11"/>
      <color rgb="FF993300"/>
      <name val="Calibri"/>
      <family val="2"/>
    </font>
    <font>
      <b/>
      <sz val="11"/>
      <color rgb="FF333333"/>
      <name val="Calibri"/>
      <family val="2"/>
    </font>
    <font>
      <b/>
      <sz val="18"/>
      <color rgb="FF003366"/>
      <name val="Cambria"/>
      <family val="1"/>
    </font>
    <font>
      <b/>
      <sz val="11"/>
      <color rgb="FF000000"/>
      <name val="Calibri"/>
      <family val="2"/>
    </font>
    <font>
      <sz val="11"/>
      <color rgb="FFFF0000"/>
      <name val="Calibri"/>
      <family val="2"/>
    </font>
    <font>
      <sz val="10"/>
      <color theme="1"/>
      <name val="Arial2"/>
      <family val="2"/>
    </font>
    <font>
      <b/>
      <i/>
      <sz val="16"/>
      <color theme="1"/>
      <name val="Arial"/>
      <family val="2"/>
    </font>
    <font>
      <sz val="11"/>
      <color theme="1"/>
      <name val="Arial"/>
      <family val="2"/>
    </font>
    <font>
      <b/>
      <i/>
      <u/>
      <sz val="11"/>
      <color theme="1"/>
      <name val="Arial"/>
      <family val="2"/>
    </font>
    <font>
      <b/>
      <sz val="12"/>
      <color theme="1"/>
      <name val="Arial1"/>
    </font>
    <font>
      <sz val="10"/>
      <color theme="1"/>
      <name val="Arial"/>
      <family val="2"/>
    </font>
    <font>
      <sz val="12"/>
      <color theme="1"/>
      <name val="Arial1"/>
    </font>
    <font>
      <b/>
      <sz val="11.5"/>
      <color theme="1"/>
      <name val="Arial"/>
      <family val="2"/>
    </font>
    <font>
      <sz val="11.5"/>
      <color theme="1"/>
      <name val="Arial"/>
      <family val="2"/>
    </font>
    <font>
      <b/>
      <sz val="12"/>
      <color theme="1"/>
      <name val="Arial"/>
      <family val="2"/>
    </font>
    <font>
      <sz val="12"/>
      <color theme="1"/>
      <name val="Arial2"/>
    </font>
    <font>
      <b/>
      <sz val="11.5"/>
      <color theme="1"/>
      <name val="Times New Roman"/>
      <family val="1"/>
    </font>
    <font>
      <sz val="11.5"/>
      <color theme="1"/>
      <name val="Times New Roman"/>
      <family val="1"/>
    </font>
    <font>
      <b/>
      <sz val="12"/>
      <color theme="1"/>
      <name val="Times New Roman"/>
      <family val="1"/>
    </font>
    <font>
      <sz val="14"/>
      <color theme="1"/>
      <name val="Times New Roman"/>
      <family val="1"/>
    </font>
    <font>
      <sz val="11"/>
      <color theme="1"/>
      <name val="Times New Roman"/>
      <family val="1"/>
    </font>
    <font>
      <sz val="12"/>
      <color theme="1"/>
      <name val="Times New Roman"/>
      <family val="1"/>
    </font>
    <font>
      <b/>
      <u/>
      <sz val="11.5"/>
      <color theme="1"/>
      <name val="Times New Roman"/>
      <family val="1"/>
    </font>
    <font>
      <b/>
      <sz val="16"/>
      <color theme="1"/>
      <name val="Times New Roman"/>
      <family val="1"/>
    </font>
    <font>
      <sz val="12"/>
      <color theme="1"/>
      <name val="Arial"/>
      <family val="2"/>
    </font>
    <font>
      <sz val="11.5"/>
      <color rgb="FF002060"/>
      <name val="Arial"/>
      <family val="2"/>
    </font>
    <font>
      <b/>
      <sz val="11"/>
      <color theme="1"/>
      <name val="Times New Roman"/>
      <family val="1"/>
    </font>
    <font>
      <b/>
      <sz val="13"/>
      <color theme="1"/>
      <name val="Times New Roman"/>
      <family val="1"/>
    </font>
    <font>
      <b/>
      <sz val="13"/>
      <color theme="1"/>
      <name val="Arial1"/>
    </font>
    <font>
      <b/>
      <sz val="14"/>
      <color theme="1"/>
      <name val="Times New Roman"/>
      <family val="1"/>
    </font>
    <font>
      <sz val="8"/>
      <name val="Arial"/>
      <family val="2"/>
    </font>
    <font>
      <b/>
      <sz val="12"/>
      <color theme="0"/>
      <name val="Arial"/>
      <family val="2"/>
    </font>
    <font>
      <sz val="12"/>
      <color theme="0"/>
      <name val="Arial"/>
      <family val="2"/>
    </font>
    <font>
      <b/>
      <sz val="16"/>
      <color theme="0"/>
      <name val="Arial"/>
      <family val="2"/>
    </font>
    <font>
      <sz val="12"/>
      <name val="Times New Roman"/>
      <family val="1"/>
    </font>
  </fonts>
  <fills count="52">
    <fill>
      <patternFill patternType="none"/>
    </fill>
    <fill>
      <patternFill patternType="gray125"/>
    </fill>
    <fill>
      <patternFill patternType="solid">
        <fgColor indexed="47"/>
      </patternFill>
    </fill>
    <fill>
      <patternFill patternType="solid">
        <fgColor indexed="31"/>
      </patternFill>
    </fill>
    <fill>
      <patternFill patternType="solid">
        <fgColor indexed="29"/>
      </patternFill>
    </fill>
    <fill>
      <patternFill patternType="solid">
        <fgColor indexed="45"/>
      </patternFill>
    </fill>
    <fill>
      <patternFill patternType="solid">
        <fgColor indexed="26"/>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43"/>
      </patternFill>
    </fill>
    <fill>
      <patternFill patternType="solid">
        <fgColor indexed="11"/>
      </patternFill>
    </fill>
    <fill>
      <patternFill patternType="solid">
        <fgColor indexed="51"/>
      </patternFill>
    </fill>
    <fill>
      <patternFill patternType="solid">
        <fgColor indexed="49"/>
      </patternFill>
    </fill>
    <fill>
      <patternFill patternType="solid">
        <fgColor indexed="30"/>
      </patternFill>
    </fill>
    <fill>
      <patternFill patternType="solid">
        <fgColor indexed="36"/>
      </patternFill>
    </fill>
    <fill>
      <patternFill patternType="solid">
        <fgColor indexed="5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rgb="FFCCCCFF"/>
        <bgColor rgb="FFCCCCFF"/>
      </patternFill>
    </fill>
    <fill>
      <patternFill patternType="solid">
        <fgColor rgb="FFFF99CC"/>
        <bgColor rgb="FFFF99CC"/>
      </patternFill>
    </fill>
    <fill>
      <patternFill patternType="solid">
        <fgColor rgb="FFCCFFCC"/>
        <bgColor rgb="FFCCFFCC"/>
      </patternFill>
    </fill>
    <fill>
      <patternFill patternType="solid">
        <fgColor rgb="FFCC99FF"/>
        <bgColor rgb="FFCC99FF"/>
      </patternFill>
    </fill>
    <fill>
      <patternFill patternType="solid">
        <fgColor rgb="FFCCFFFF"/>
        <bgColor rgb="FFCCFFFF"/>
      </patternFill>
    </fill>
    <fill>
      <patternFill patternType="solid">
        <fgColor rgb="FFFFCC99"/>
        <bgColor rgb="FFFFCC99"/>
      </patternFill>
    </fill>
    <fill>
      <patternFill patternType="solid">
        <fgColor rgb="FF99CCFF"/>
        <bgColor rgb="FF99CCFF"/>
      </patternFill>
    </fill>
    <fill>
      <patternFill patternType="solid">
        <fgColor rgb="FFFF8080"/>
        <bgColor rgb="FFFF8080"/>
      </patternFill>
    </fill>
    <fill>
      <patternFill patternType="solid">
        <fgColor rgb="FF00FF00"/>
        <bgColor rgb="FF00FF00"/>
      </patternFill>
    </fill>
    <fill>
      <patternFill patternType="solid">
        <fgColor rgb="FFFFCC00"/>
        <bgColor rgb="FFFFCC00"/>
      </patternFill>
    </fill>
    <fill>
      <patternFill patternType="solid">
        <fgColor rgb="FF0066CC"/>
        <bgColor rgb="FF0066CC"/>
      </patternFill>
    </fill>
    <fill>
      <patternFill patternType="solid">
        <fgColor rgb="FF800080"/>
        <bgColor rgb="FF800080"/>
      </patternFill>
    </fill>
    <fill>
      <patternFill patternType="solid">
        <fgColor rgb="FF33CCCC"/>
        <bgColor rgb="FF33CCCC"/>
      </patternFill>
    </fill>
    <fill>
      <patternFill patternType="solid">
        <fgColor rgb="FFFF9900"/>
        <bgColor rgb="FFFF9900"/>
      </patternFill>
    </fill>
    <fill>
      <patternFill patternType="solid">
        <fgColor rgb="FF333399"/>
        <bgColor rgb="FF333399"/>
      </patternFill>
    </fill>
    <fill>
      <patternFill patternType="solid">
        <fgColor rgb="FFFF0000"/>
        <bgColor rgb="FFFF0000"/>
      </patternFill>
    </fill>
    <fill>
      <patternFill patternType="solid">
        <fgColor rgb="FF339966"/>
        <bgColor rgb="FF339966"/>
      </patternFill>
    </fill>
    <fill>
      <patternFill patternType="solid">
        <fgColor rgb="FFFF6600"/>
        <bgColor rgb="FFFF6600"/>
      </patternFill>
    </fill>
    <fill>
      <patternFill patternType="solid">
        <fgColor rgb="FFC0C0C0"/>
        <bgColor rgb="FFC0C0C0"/>
      </patternFill>
    </fill>
    <fill>
      <patternFill patternType="solid">
        <fgColor rgb="FF969696"/>
        <bgColor rgb="FF969696"/>
      </patternFill>
    </fill>
    <fill>
      <patternFill patternType="solid">
        <fgColor rgb="FFFFFF99"/>
        <bgColor rgb="FFFFFF99"/>
      </patternFill>
    </fill>
    <fill>
      <patternFill patternType="solid">
        <fgColor rgb="FFFFFFCC"/>
        <bgColor rgb="FFFFFFCC"/>
      </patternFill>
    </fill>
    <fill>
      <patternFill patternType="solid">
        <fgColor theme="0"/>
        <bgColor indexed="64"/>
      </patternFill>
    </fill>
    <fill>
      <patternFill patternType="solid">
        <fgColor theme="2" tint="-0.249977111117893"/>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4" tint="0.39997558519241921"/>
        <bgColor indexed="64"/>
      </patternFill>
    </fill>
    <fill>
      <patternFill patternType="solid">
        <fgColor theme="0" tint="-0.249977111117893"/>
        <bgColor indexed="64"/>
      </patternFill>
    </fill>
  </fills>
  <borders count="4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double">
        <color indexed="64"/>
      </left>
      <right style="thin">
        <color indexed="64"/>
      </right>
      <top style="double">
        <color indexed="64"/>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rgb="FF808080"/>
      </left>
      <right style="thin">
        <color rgb="FF808080"/>
      </right>
      <top style="thin">
        <color rgb="FF808080"/>
      </top>
      <bottom style="thin">
        <color rgb="FF808080"/>
      </bottom>
      <diagonal/>
    </border>
    <border>
      <left/>
      <right/>
      <top/>
      <bottom style="medium">
        <color rgb="FF333399"/>
      </bottom>
      <diagonal/>
    </border>
    <border>
      <left/>
      <right/>
      <top/>
      <bottom style="medium">
        <color rgb="FFC0C0C0"/>
      </bottom>
      <diagonal/>
    </border>
    <border>
      <left/>
      <right/>
      <top/>
      <bottom style="thin">
        <color rgb="FF0066CC"/>
      </bottom>
      <diagonal/>
    </border>
    <border>
      <left style="thin">
        <color rgb="FFC0C0C0"/>
      </left>
      <right style="thin">
        <color rgb="FFC0C0C0"/>
      </right>
      <top style="thin">
        <color rgb="FFC0C0C0"/>
      </top>
      <bottom style="thin">
        <color rgb="FFC0C0C0"/>
      </bottom>
      <diagonal/>
    </border>
    <border>
      <left style="thin">
        <color rgb="FF333333"/>
      </left>
      <right style="thin">
        <color rgb="FF333333"/>
      </right>
      <top style="thin">
        <color rgb="FF333333"/>
      </top>
      <bottom style="thin">
        <color rgb="FF333333"/>
      </bottom>
      <diagonal/>
    </border>
    <border>
      <left/>
      <right/>
      <top style="thin">
        <color rgb="FF333399"/>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bottom/>
      <diagonal/>
    </border>
    <border>
      <left/>
      <right style="thin">
        <color rgb="FF000000"/>
      </right>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theme="4" tint="0.39994506668294322"/>
      </left>
      <right/>
      <top style="thin">
        <color theme="4" tint="0.39994506668294322"/>
      </top>
      <bottom style="thin">
        <color theme="4" tint="0.39994506668294322"/>
      </bottom>
      <diagonal/>
    </border>
    <border>
      <left/>
      <right/>
      <top style="thin">
        <color theme="4" tint="0.39994506668294322"/>
      </top>
      <bottom style="thin">
        <color theme="4" tint="0.39994506668294322"/>
      </bottom>
      <diagonal/>
    </border>
    <border>
      <left/>
      <right style="thin">
        <color theme="4" tint="0.39994506668294322"/>
      </right>
      <top style="thin">
        <color theme="4" tint="0.39994506668294322"/>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s>
  <cellStyleXfs count="173">
    <xf numFmtId="0" fontId="0" fillId="0" borderId="0"/>
    <xf numFmtId="0" fontId="5" fillId="3" borderId="0" applyNumberFormat="0" applyBorder="0" applyAlignment="0" applyProtection="0"/>
    <xf numFmtId="0" fontId="5" fillId="5"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2" borderId="0" applyNumberFormat="0" applyBorder="0" applyAlignment="0" applyProtection="0"/>
    <xf numFmtId="0" fontId="5" fillId="11" borderId="0" applyNumberFormat="0" applyBorder="0" applyAlignment="0" applyProtection="0"/>
    <xf numFmtId="0" fontId="5" fillId="4" borderId="0" applyNumberFormat="0" applyBorder="0" applyAlignment="0" applyProtection="0"/>
    <xf numFmtId="0" fontId="5" fillId="13" borderId="0" applyNumberFormat="0" applyBorder="0" applyAlignment="0" applyProtection="0"/>
    <xf numFmtId="0" fontId="5" fillId="8"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6" fillId="16" borderId="0" applyNumberFormat="0" applyBorder="0" applyAlignment="0" applyProtection="0"/>
    <xf numFmtId="0" fontId="6" fillId="4" borderId="0" applyNumberFormat="0" applyBorder="0" applyAlignment="0" applyProtection="0"/>
    <xf numFmtId="0" fontId="6" fillId="13" borderId="0" applyNumberFormat="0" applyBorder="0" applyAlignment="0" applyProtection="0"/>
    <xf numFmtId="0" fontId="6" fillId="17"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7" fillId="7" borderId="0" applyNumberFormat="0" applyBorder="0" applyAlignment="0" applyProtection="0"/>
    <xf numFmtId="0" fontId="8" fillId="10" borderId="1" applyNumberFormat="0" applyAlignment="0" applyProtection="0"/>
    <xf numFmtId="0" fontId="9" fillId="19" borderId="2" applyNumberFormat="0" applyAlignment="0" applyProtection="0"/>
    <xf numFmtId="0" fontId="10" fillId="0" borderId="3" applyNumberFormat="0" applyFill="0" applyAlignment="0" applyProtection="0"/>
    <xf numFmtId="0" fontId="38" fillId="0" borderId="0"/>
    <xf numFmtId="0" fontId="6" fillId="20" borderId="0" applyNumberFormat="0" applyBorder="0" applyAlignment="0" applyProtection="0"/>
    <xf numFmtId="0" fontId="6" fillId="21" borderId="0" applyNumberFormat="0" applyBorder="0" applyAlignment="0" applyProtection="0"/>
    <xf numFmtId="0" fontId="6" fillId="22" borderId="0" applyNumberFormat="0" applyBorder="0" applyAlignment="0" applyProtection="0"/>
    <xf numFmtId="0" fontId="6" fillId="17" borderId="0" applyNumberFormat="0" applyBorder="0" applyAlignment="0" applyProtection="0"/>
    <xf numFmtId="0" fontId="6" fillId="15" borderId="0" applyNumberFormat="0" applyBorder="0" applyAlignment="0" applyProtection="0"/>
    <xf numFmtId="0" fontId="6" fillId="23" borderId="0" applyNumberFormat="0" applyBorder="0" applyAlignment="0" applyProtection="0"/>
    <xf numFmtId="0" fontId="11" fillId="2" borderId="1" applyNumberFormat="0" applyAlignment="0" applyProtection="0"/>
    <xf numFmtId="0" fontId="39" fillId="24" borderId="0"/>
    <xf numFmtId="0" fontId="39" fillId="25" borderId="0"/>
    <xf numFmtId="0" fontId="39" fillId="26" borderId="0"/>
    <xf numFmtId="0" fontId="39" fillId="27" borderId="0"/>
    <xf numFmtId="0" fontId="39" fillId="28" borderId="0"/>
    <xf numFmtId="0" fontId="39" fillId="29" borderId="0"/>
    <xf numFmtId="0" fontId="39" fillId="30" borderId="0"/>
    <xf numFmtId="0" fontId="39" fillId="31" borderId="0"/>
    <xf numFmtId="0" fontId="39" fillId="32" borderId="0"/>
    <xf numFmtId="0" fontId="39" fillId="27" borderId="0"/>
    <xf numFmtId="0" fontId="39" fillId="30" borderId="0"/>
    <xf numFmtId="0" fontId="39" fillId="33" borderId="0"/>
    <xf numFmtId="0" fontId="40" fillId="34" borderId="0"/>
    <xf numFmtId="0" fontId="40" fillId="31" borderId="0"/>
    <xf numFmtId="0" fontId="40" fillId="32" borderId="0"/>
    <xf numFmtId="0" fontId="40" fillId="35" borderId="0"/>
    <xf numFmtId="0" fontId="40" fillId="36" borderId="0"/>
    <xf numFmtId="0" fontId="40" fillId="37" borderId="0"/>
    <xf numFmtId="0" fontId="40" fillId="38" borderId="0"/>
    <xf numFmtId="0" fontId="40" fillId="39" borderId="0"/>
    <xf numFmtId="0" fontId="40" fillId="40" borderId="0"/>
    <xf numFmtId="0" fontId="40" fillId="35" borderId="0"/>
    <xf numFmtId="0" fontId="40" fillId="36" borderId="0"/>
    <xf numFmtId="0" fontId="40" fillId="41" borderId="0"/>
    <xf numFmtId="0" fontId="41" fillId="25" borderId="0"/>
    <xf numFmtId="0" fontId="42" fillId="42" borderId="26"/>
    <xf numFmtId="0" fontId="43" fillId="43" borderId="0"/>
    <xf numFmtId="176" fontId="44" fillId="0" borderId="0"/>
    <xf numFmtId="176" fontId="44" fillId="0" borderId="0"/>
    <xf numFmtId="0" fontId="45" fillId="0" borderId="0"/>
    <xf numFmtId="0" fontId="46" fillId="26" borderId="0"/>
    <xf numFmtId="0" fontId="47" fillId="0" borderId="27"/>
    <xf numFmtId="0" fontId="48" fillId="0" borderId="28"/>
    <xf numFmtId="0" fontId="49" fillId="0" borderId="29"/>
    <xf numFmtId="0" fontId="49" fillId="0" borderId="0"/>
    <xf numFmtId="0" fontId="50" fillId="29" borderId="26"/>
    <xf numFmtId="0" fontId="51" fillId="0" borderId="0"/>
    <xf numFmtId="0" fontId="52" fillId="44" borderId="0"/>
    <xf numFmtId="0" fontId="44" fillId="45" borderId="30"/>
    <xf numFmtId="0" fontId="53" fillId="42" borderId="31"/>
    <xf numFmtId="9" fontId="44" fillId="0" borderId="0"/>
    <xf numFmtId="0" fontId="54" fillId="0" borderId="0"/>
    <xf numFmtId="0" fontId="55" fillId="0" borderId="32"/>
    <xf numFmtId="0" fontId="56" fillId="0" borderId="0"/>
    <xf numFmtId="176" fontId="57" fillId="0" borderId="0"/>
    <xf numFmtId="0" fontId="58" fillId="0" borderId="0">
      <alignment horizontal="center"/>
    </xf>
    <xf numFmtId="0" fontId="58" fillId="0" borderId="0">
      <alignment horizontal="center" textRotation="90"/>
    </xf>
    <xf numFmtId="0" fontId="12" fillId="5" borderId="0" applyNumberFormat="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5"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0" fontId="13" fillId="12" borderId="0" applyNumberFormat="0" applyBorder="0" applyAlignment="0" applyProtection="0"/>
    <xf numFmtId="0" fontId="5" fillId="0" borderId="0"/>
    <xf numFmtId="0" fontId="59" fillId="0" borderId="0"/>
    <xf numFmtId="0" fontId="44"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xf numFmtId="0" fontId="5" fillId="0" borderId="0"/>
    <xf numFmtId="0" fontId="5" fillId="0" borderId="0"/>
    <xf numFmtId="0" fontId="37" fillId="0" borderId="0"/>
    <xf numFmtId="0" fontId="37" fillId="0" borderId="0"/>
    <xf numFmtId="0" fontId="2" fillId="0" borderId="0"/>
    <xf numFmtId="0" fontId="3" fillId="0" borderId="0"/>
    <xf numFmtId="0" fontId="4" fillId="0" borderId="0"/>
    <xf numFmtId="0" fontId="3" fillId="0" borderId="0"/>
    <xf numFmtId="0" fontId="26" fillId="0" borderId="0"/>
    <xf numFmtId="0" fontId="3" fillId="0" borderId="0"/>
    <xf numFmtId="0" fontId="3" fillId="6" borderId="4" applyNumberFormat="0" applyFont="0" applyAlignment="0" applyProtection="0"/>
    <xf numFmtId="0" fontId="14" fillId="0" borderId="6" applyNumberFormat="0" applyFont="0" applyBorder="0" applyAlignment="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7" fillId="0" borderId="0" applyFont="0" applyFill="0" applyBorder="0" applyAlignment="0" applyProtection="0"/>
    <xf numFmtId="10"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60" fillId="0" borderId="0"/>
    <xf numFmtId="175" fontId="60" fillId="0" borderId="0"/>
    <xf numFmtId="0" fontId="15" fillId="10" borderId="5" applyNumberFormat="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9" fontId="3" fillId="0" borderId="0" applyFont="0" applyFill="0" applyBorder="0" applyAlignment="0" applyProtection="0"/>
    <xf numFmtId="164" fontId="3" fillId="0" borderId="0" applyFont="0" applyFill="0" applyBorder="0" applyAlignment="0" applyProtection="0"/>
    <xf numFmtId="0"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5"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8" fillId="0" borderId="7" applyNumberFormat="0" applyFill="0" applyAlignment="0" applyProtection="0"/>
    <xf numFmtId="0" fontId="19" fillId="0" borderId="8" applyNumberFormat="0" applyFill="0" applyAlignment="0" applyProtection="0"/>
    <xf numFmtId="0" fontId="20" fillId="0" borderId="9" applyNumberFormat="0" applyFill="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2" fillId="0" borderId="10" applyNumberFormat="0" applyFill="0" applyAlignment="0" applyProtection="0"/>
    <xf numFmtId="43" fontId="37" fillId="0" borderId="0" applyFont="0" applyFill="0" applyBorder="0" applyAlignment="0" applyProtection="0"/>
    <xf numFmtId="164" fontId="3" fillId="0" borderId="0" applyFont="0" applyFill="0" applyBorder="0" applyAlignment="0" applyProtection="0"/>
    <xf numFmtId="43" fontId="37" fillId="0" borderId="0" applyFont="0" applyFill="0" applyBorder="0" applyAlignment="0" applyProtection="0"/>
    <xf numFmtId="164" fontId="3" fillId="0" borderId="0" applyFont="0" applyFill="0" applyBorder="0" applyAlignment="0" applyProtection="0"/>
    <xf numFmtId="4" fontId="4"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43" fontId="1" fillId="0" borderId="0" applyFont="0" applyFill="0" applyBorder="0" applyAlignment="0" applyProtection="0"/>
  </cellStyleXfs>
  <cellXfs count="447">
    <xf numFmtId="0" fontId="0" fillId="0" borderId="0" xfId="0"/>
    <xf numFmtId="0" fontId="3" fillId="0" borderId="0" xfId="0" applyFont="1" applyFill="1" applyBorder="1" applyAlignment="1">
      <alignment vertical="center"/>
    </xf>
    <xf numFmtId="172" fontId="3" fillId="0" borderId="0" xfId="160" applyNumberFormat="1" applyFont="1" applyFill="1" applyBorder="1" applyAlignment="1">
      <alignment vertical="center"/>
    </xf>
    <xf numFmtId="9" fontId="3" fillId="0" borderId="0" xfId="113" applyFont="1" applyFill="1" applyBorder="1" applyAlignment="1">
      <alignment vertical="center"/>
    </xf>
    <xf numFmtId="164" fontId="3" fillId="0" borderId="0" xfId="0" applyNumberFormat="1" applyFont="1" applyFill="1" applyBorder="1" applyAlignment="1">
      <alignment horizontal="center" vertical="center"/>
    </xf>
    <xf numFmtId="0" fontId="3" fillId="0" borderId="0" xfId="160" applyNumberFormat="1" applyFont="1" applyFill="1" applyBorder="1" applyAlignment="1">
      <alignment horizontal="right" vertical="center"/>
    </xf>
    <xf numFmtId="0" fontId="3" fillId="0" borderId="0" xfId="0" applyFont="1" applyFill="1" applyAlignment="1">
      <alignment vertical="center"/>
    </xf>
    <xf numFmtId="165" fontId="23" fillId="46" borderId="0" xfId="94" applyNumberFormat="1" applyFont="1" applyFill="1" applyBorder="1" applyAlignment="1">
      <alignment horizontal="left" vertical="center"/>
    </xf>
    <xf numFmtId="0" fontId="23" fillId="46" borderId="0" xfId="93" applyFont="1" applyFill="1" applyBorder="1" applyAlignment="1">
      <alignment horizontal="left" vertical="center"/>
    </xf>
    <xf numFmtId="0" fontId="23" fillId="0" borderId="0" xfId="107" applyFont="1" applyFill="1" applyBorder="1" applyAlignment="1"/>
    <xf numFmtId="0" fontId="24" fillId="0" borderId="0" xfId="107" applyFont="1" applyFill="1" applyBorder="1" applyAlignment="1">
      <alignment horizontal="left"/>
    </xf>
    <xf numFmtId="0" fontId="24" fillId="0" borderId="0" xfId="107" applyFont="1" applyFill="1" applyBorder="1"/>
    <xf numFmtId="164" fontId="24" fillId="0" borderId="0" xfId="160" applyFont="1" applyFill="1" applyBorder="1"/>
    <xf numFmtId="166" fontId="24" fillId="0" borderId="0" xfId="79" applyFont="1" applyFill="1" applyBorder="1"/>
    <xf numFmtId="0" fontId="24" fillId="0" borderId="0" xfId="107" applyFont="1" applyFill="1"/>
    <xf numFmtId="0" fontId="24" fillId="0" borderId="0" xfId="107" applyFont="1" applyFill="1" applyBorder="1" applyAlignment="1">
      <alignment horizontal="center"/>
    </xf>
    <xf numFmtId="0" fontId="24" fillId="0" borderId="0" xfId="107" applyFont="1" applyFill="1" applyBorder="1" applyAlignment="1">
      <alignment horizontal="right"/>
    </xf>
    <xf numFmtId="0" fontId="23" fillId="0" borderId="0" xfId="107" applyFont="1" applyFill="1" applyAlignment="1" applyProtection="1">
      <alignment horizontal="center" vertical="center"/>
      <protection locked="0"/>
    </xf>
    <xf numFmtId="0" fontId="24" fillId="0" borderId="0" xfId="107" applyFont="1" applyFill="1" applyAlignment="1">
      <alignment horizontal="center" vertical="center"/>
    </xf>
    <xf numFmtId="0" fontId="24" fillId="0" borderId="0" xfId="107" applyFont="1" applyFill="1" applyAlignment="1">
      <alignment horizontal="center"/>
    </xf>
    <xf numFmtId="0" fontId="24" fillId="0" borderId="0" xfId="107" applyFont="1" applyFill="1" applyAlignment="1">
      <alignment horizontal="left"/>
    </xf>
    <xf numFmtId="164" fontId="24" fillId="0" borderId="0" xfId="160" applyFont="1" applyFill="1"/>
    <xf numFmtId="166" fontId="24" fillId="0" borderId="0" xfId="79" applyFont="1" applyFill="1" applyAlignment="1">
      <alignment horizontal="right"/>
    </xf>
    <xf numFmtId="166" fontId="24" fillId="0" borderId="0" xfId="79" applyFont="1" applyFill="1"/>
    <xf numFmtId="0" fontId="24" fillId="46" borderId="0" xfId="93" applyFont="1" applyFill="1" applyBorder="1" applyAlignment="1">
      <alignment vertical="center"/>
    </xf>
    <xf numFmtId="0" fontId="61" fillId="0" borderId="0" xfId="92" applyFont="1" applyFill="1" applyBorder="1" applyAlignment="1">
      <alignment horizontal="center" vertical="center"/>
    </xf>
    <xf numFmtId="0" fontId="44" fillId="0" borderId="0" xfId="92" applyFill="1" applyAlignment="1">
      <alignment horizontal="right"/>
    </xf>
    <xf numFmtId="0" fontId="44" fillId="0" borderId="0" xfId="92" applyFill="1"/>
    <xf numFmtId="0" fontId="62" fillId="0" borderId="0" xfId="92" applyFont="1" applyFill="1" applyAlignment="1">
      <alignment horizontal="right"/>
    </xf>
    <xf numFmtId="0" fontId="63" fillId="0" borderId="0" xfId="92" applyFont="1" applyFill="1" applyAlignment="1"/>
    <xf numFmtId="0" fontId="27" fillId="0" borderId="0" xfId="0" applyFont="1" applyFill="1" applyBorder="1" applyAlignment="1">
      <alignment vertical="center"/>
    </xf>
    <xf numFmtId="0" fontId="25" fillId="0" borderId="0" xfId="0" applyFont="1" applyFill="1" applyBorder="1" applyAlignment="1">
      <alignment vertical="center"/>
    </xf>
    <xf numFmtId="0" fontId="65" fillId="0" borderId="0" xfId="0" applyFont="1" applyFill="1" applyAlignment="1">
      <alignment vertical="center"/>
    </xf>
    <xf numFmtId="164" fontId="65" fillId="0" borderId="0" xfId="160" applyFont="1" applyFill="1" applyAlignment="1">
      <alignment horizontal="center" vertical="center"/>
    </xf>
    <xf numFmtId="0" fontId="65" fillId="0" borderId="0" xfId="0" applyFont="1" applyFill="1" applyAlignment="1">
      <alignment horizontal="center" vertical="center"/>
    </xf>
    <xf numFmtId="43" fontId="65" fillId="0" borderId="0" xfId="159" applyFont="1" applyFill="1" applyAlignment="1">
      <alignment vertical="center"/>
    </xf>
    <xf numFmtId="165" fontId="64" fillId="0" borderId="11" xfId="110" applyNumberFormat="1" applyFont="1" applyFill="1" applyBorder="1" applyAlignment="1">
      <alignment horizontal="center" vertical="center"/>
    </xf>
    <xf numFmtId="0" fontId="64" fillId="0" borderId="12" xfId="110" applyFont="1" applyFill="1" applyBorder="1" applyAlignment="1">
      <alignment horizontal="left" vertical="center" wrapText="1"/>
    </xf>
    <xf numFmtId="0" fontId="64" fillId="0" borderId="12" xfId="110" applyFont="1" applyFill="1" applyBorder="1" applyAlignment="1">
      <alignment horizontal="center" vertical="center"/>
    </xf>
    <xf numFmtId="0" fontId="64" fillId="0" borderId="13" xfId="160" applyNumberFormat="1" applyFont="1" applyFill="1" applyBorder="1" applyAlignment="1">
      <alignment horizontal="right" vertical="center" wrapText="1"/>
    </xf>
    <xf numFmtId="174" fontId="64" fillId="0" borderId="14" xfId="160" applyNumberFormat="1" applyFont="1" applyFill="1" applyBorder="1" applyAlignment="1">
      <alignment horizontal="center" vertical="center"/>
    </xf>
    <xf numFmtId="0" fontId="65" fillId="0" borderId="0" xfId="0" applyFont="1" applyFill="1" applyAlignment="1">
      <alignment horizontal="left" vertical="center"/>
    </xf>
    <xf numFmtId="43" fontId="64" fillId="0" borderId="0" xfId="159" applyFont="1" applyFill="1" applyAlignment="1">
      <alignment vertical="center"/>
    </xf>
    <xf numFmtId="164" fontId="65" fillId="0" borderId="14" xfId="160" applyFont="1" applyFill="1" applyBorder="1" applyAlignment="1">
      <alignment horizontal="center" vertical="center"/>
    </xf>
    <xf numFmtId="166" fontId="65" fillId="0" borderId="0" xfId="79" applyFont="1" applyFill="1" applyAlignment="1">
      <alignment vertical="center"/>
    </xf>
    <xf numFmtId="43" fontId="65" fillId="0" borderId="0" xfId="0" applyNumberFormat="1" applyFont="1" applyFill="1" applyAlignment="1">
      <alignment vertical="center"/>
    </xf>
    <xf numFmtId="165" fontId="65" fillId="0" borderId="0" xfId="0" applyNumberFormat="1" applyFont="1" applyFill="1" applyAlignment="1">
      <alignment vertical="center"/>
    </xf>
    <xf numFmtId="0" fontId="65" fillId="0" borderId="0" xfId="94" applyFont="1" applyFill="1" applyProtection="1"/>
    <xf numFmtId="2" fontId="65" fillId="0" borderId="0" xfId="94" applyNumberFormat="1" applyFont="1" applyFill="1" applyProtection="1"/>
    <xf numFmtId="43" fontId="65" fillId="0" borderId="0" xfId="159" applyFont="1" applyFill="1" applyProtection="1"/>
    <xf numFmtId="0" fontId="64" fillId="0" borderId="0" xfId="110" applyFont="1" applyFill="1" applyBorder="1" applyAlignment="1">
      <alignment horizontal="center" vertical="center"/>
    </xf>
    <xf numFmtId="164" fontId="65" fillId="0" borderId="0" xfId="0" applyNumberFormat="1" applyFont="1" applyFill="1" applyAlignment="1">
      <alignment vertical="center"/>
    </xf>
    <xf numFmtId="0" fontId="65" fillId="0" borderId="0" xfId="0" applyFont="1" applyFill="1" applyAlignment="1">
      <alignment vertical="center" wrapText="1"/>
    </xf>
    <xf numFmtId="0" fontId="65" fillId="0" borderId="0" xfId="160" applyNumberFormat="1" applyFont="1" applyFill="1" applyAlignment="1">
      <alignment horizontal="right" vertical="center"/>
    </xf>
    <xf numFmtId="166" fontId="65" fillId="0" borderId="0" xfId="0" applyNumberFormat="1" applyFont="1" applyFill="1" applyAlignment="1">
      <alignment vertical="center"/>
    </xf>
    <xf numFmtId="170" fontId="65" fillId="0" borderId="0" xfId="159" applyNumberFormat="1" applyFont="1" applyFill="1" applyAlignment="1">
      <alignment vertical="center"/>
    </xf>
    <xf numFmtId="170" fontId="65" fillId="0" borderId="0" xfId="159" applyNumberFormat="1" applyFont="1" applyFill="1" applyProtection="1"/>
    <xf numFmtId="0" fontId="66" fillId="0" borderId="0" xfId="92" applyFont="1" applyFill="1" applyBorder="1" applyAlignment="1">
      <alignment horizontal="left" vertical="center"/>
    </xf>
    <xf numFmtId="10" fontId="44" fillId="0" borderId="0" xfId="92" applyNumberFormat="1" applyFill="1" applyAlignment="1">
      <alignment horizontal="left"/>
    </xf>
    <xf numFmtId="0" fontId="63" fillId="0" borderId="0" xfId="92" applyFont="1" applyFill="1"/>
    <xf numFmtId="0" fontId="61" fillId="0" borderId="0" xfId="92" applyFont="1" applyFill="1" applyAlignment="1"/>
    <xf numFmtId="0" fontId="44" fillId="0" borderId="0" xfId="92" applyFont="1" applyFill="1"/>
    <xf numFmtId="0" fontId="67" fillId="0" borderId="0" xfId="92" applyFont="1" applyFill="1" applyAlignment="1">
      <alignment horizontal="center"/>
    </xf>
    <xf numFmtId="166" fontId="65" fillId="0" borderId="0" xfId="79" applyFont="1" applyFill="1" applyProtection="1"/>
    <xf numFmtId="164" fontId="65" fillId="0" borderId="0" xfId="160" applyFont="1" applyFill="1" applyBorder="1" applyAlignment="1">
      <alignment horizontal="center" vertical="center"/>
    </xf>
    <xf numFmtId="0" fontId="61" fillId="0" borderId="0" xfId="92" applyFont="1" applyFill="1" applyBorder="1" applyAlignment="1">
      <alignment horizontal="left" vertical="center"/>
    </xf>
    <xf numFmtId="10" fontId="64" fillId="0" borderId="0" xfId="0" applyNumberFormat="1" applyFont="1" applyFill="1" applyAlignment="1">
      <alignment vertical="center"/>
    </xf>
    <xf numFmtId="10" fontId="64" fillId="0" borderId="0" xfId="0" applyNumberFormat="1" applyFont="1" applyFill="1" applyAlignment="1">
      <alignment horizontal="center" vertical="center"/>
    </xf>
    <xf numFmtId="0" fontId="64" fillId="0" borderId="15" xfId="110" applyFont="1" applyFill="1" applyBorder="1" applyAlignment="1">
      <alignment horizontal="center" vertical="center" wrapText="1"/>
    </xf>
    <xf numFmtId="0" fontId="64" fillId="0" borderId="15" xfId="0" applyFont="1" applyFill="1" applyBorder="1" applyAlignment="1">
      <alignment horizontal="center" vertical="center"/>
    </xf>
    <xf numFmtId="0" fontId="64" fillId="0" borderId="16" xfId="110" applyFont="1" applyFill="1" applyBorder="1" applyAlignment="1">
      <alignment horizontal="center" vertical="center" wrapText="1"/>
    </xf>
    <xf numFmtId="0" fontId="23" fillId="0" borderId="0" xfId="107" applyFont="1" applyFill="1" applyBorder="1" applyAlignment="1">
      <alignment horizontal="center"/>
    </xf>
    <xf numFmtId="1" fontId="68" fillId="0" borderId="17" xfId="110" applyNumberFormat="1" applyFont="1" applyFill="1" applyBorder="1" applyAlignment="1">
      <alignment horizontal="center" vertical="center" wrapText="1"/>
    </xf>
    <xf numFmtId="0" fontId="68" fillId="0" borderId="18" xfId="110" applyFont="1" applyFill="1" applyBorder="1" applyAlignment="1">
      <alignment vertical="center" wrapText="1"/>
    </xf>
    <xf numFmtId="165" fontId="69" fillId="0" borderId="14" xfId="110" applyNumberFormat="1" applyFont="1" applyFill="1" applyBorder="1" applyAlignment="1">
      <alignment horizontal="center" vertical="center" wrapText="1"/>
    </xf>
    <xf numFmtId="0" fontId="30" fillId="0" borderId="14" xfId="110" applyFont="1" applyFill="1" applyBorder="1" applyAlignment="1">
      <alignment vertical="center" wrapText="1"/>
    </xf>
    <xf numFmtId="0" fontId="68" fillId="0" borderId="11" xfId="110" applyFont="1" applyFill="1" applyBorder="1" applyAlignment="1">
      <alignment vertical="center"/>
    </xf>
    <xf numFmtId="0" fontId="68" fillId="0" borderId="12" xfId="110" applyFont="1" applyFill="1" applyBorder="1" applyAlignment="1">
      <alignment vertical="center" wrapText="1"/>
    </xf>
    <xf numFmtId="1" fontId="68" fillId="0" borderId="11" xfId="110" applyNumberFormat="1" applyFont="1" applyFill="1" applyBorder="1" applyAlignment="1">
      <alignment horizontal="center" vertical="center" wrapText="1"/>
    </xf>
    <xf numFmtId="0" fontId="30" fillId="0" borderId="14" xfId="110" applyFont="1" applyFill="1" applyBorder="1" applyAlignment="1">
      <alignment horizontal="justify" vertical="center" wrapText="1"/>
    </xf>
    <xf numFmtId="0" fontId="69" fillId="0" borderId="18" xfId="110" applyFont="1" applyFill="1" applyBorder="1" applyAlignment="1">
      <alignment horizontal="center" vertical="center"/>
    </xf>
    <xf numFmtId="164" fontId="69" fillId="0" borderId="11" xfId="160" applyFont="1" applyFill="1" applyBorder="1" applyAlignment="1">
      <alignment vertical="center"/>
    </xf>
    <xf numFmtId="164" fontId="69" fillId="0" borderId="12" xfId="160" applyFont="1" applyFill="1" applyBorder="1" applyAlignment="1">
      <alignment vertical="center"/>
    </xf>
    <xf numFmtId="164" fontId="69" fillId="0" borderId="13" xfId="160" applyFont="1" applyFill="1" applyBorder="1" applyAlignment="1">
      <alignment vertical="center"/>
    </xf>
    <xf numFmtId="0" fontId="30" fillId="0" borderId="14" xfId="110" applyFont="1" applyFill="1" applyBorder="1" applyAlignment="1">
      <alignment horizontal="center" vertical="center"/>
    </xf>
    <xf numFmtId="166" fontId="69" fillId="0" borderId="19" xfId="79" applyFont="1" applyFill="1" applyBorder="1" applyAlignment="1">
      <alignment vertical="center"/>
    </xf>
    <xf numFmtId="164" fontId="69" fillId="0" borderId="14" xfId="160" applyFont="1" applyFill="1" applyBorder="1" applyAlignment="1">
      <alignment vertical="center"/>
    </xf>
    <xf numFmtId="166" fontId="69" fillId="0" borderId="14" xfId="79" applyFont="1" applyFill="1" applyBorder="1" applyAlignment="1">
      <alignment vertical="center"/>
    </xf>
    <xf numFmtId="166" fontId="69" fillId="0" borderId="11" xfId="79" applyFont="1" applyFill="1" applyBorder="1" applyAlignment="1">
      <alignment vertical="center"/>
    </xf>
    <xf numFmtId="0" fontId="69" fillId="0" borderId="12" xfId="110" applyFont="1" applyFill="1" applyBorder="1" applyAlignment="1">
      <alignment vertical="center"/>
    </xf>
    <xf numFmtId="166" fontId="69" fillId="0" borderId="12" xfId="79" applyFont="1" applyFill="1" applyBorder="1" applyAlignment="1">
      <alignment vertical="center"/>
    </xf>
    <xf numFmtId="166" fontId="68" fillId="0" borderId="11" xfId="79" applyFont="1" applyFill="1" applyBorder="1" applyAlignment="1">
      <alignment vertical="center"/>
    </xf>
    <xf numFmtId="166" fontId="68" fillId="0" borderId="14" xfId="79" applyFont="1" applyFill="1" applyBorder="1" applyAlignment="1">
      <alignment vertical="center"/>
    </xf>
    <xf numFmtId="0" fontId="69" fillId="0" borderId="12" xfId="110" applyFont="1" applyFill="1" applyBorder="1" applyAlignment="1">
      <alignment horizontal="center" vertical="center"/>
    </xf>
    <xf numFmtId="166" fontId="69" fillId="0" borderId="13" xfId="79" applyFont="1" applyFill="1" applyBorder="1" applyAlignment="1">
      <alignment vertical="center"/>
    </xf>
    <xf numFmtId="164" fontId="30" fillId="0" borderId="14" xfId="160" applyFont="1" applyFill="1" applyBorder="1" applyAlignment="1">
      <alignment vertical="center"/>
    </xf>
    <xf numFmtId="0" fontId="68" fillId="0" borderId="15" xfId="110" applyFont="1" applyFill="1" applyBorder="1" applyAlignment="1">
      <alignment vertical="center"/>
    </xf>
    <xf numFmtId="166" fontId="68" fillId="0" borderId="15" xfId="79" applyFont="1" applyFill="1" applyBorder="1" applyAlignment="1">
      <alignment vertical="center"/>
    </xf>
    <xf numFmtId="166" fontId="68" fillId="0" borderId="20" xfId="79" applyFont="1" applyFill="1" applyBorder="1" applyAlignment="1">
      <alignment vertical="center"/>
    </xf>
    <xf numFmtId="166" fontId="68" fillId="0" borderId="21" xfId="79" applyFont="1" applyFill="1" applyBorder="1" applyAlignment="1">
      <alignment vertical="center"/>
    </xf>
    <xf numFmtId="0" fontId="68" fillId="0" borderId="12" xfId="110" applyFont="1" applyFill="1" applyBorder="1" applyAlignment="1">
      <alignment vertical="center"/>
    </xf>
    <xf numFmtId="166" fontId="68" fillId="0" borderId="12" xfId="79" applyFont="1" applyFill="1" applyBorder="1" applyAlignment="1">
      <alignment vertical="center"/>
    </xf>
    <xf numFmtId="0" fontId="68" fillId="0" borderId="0" xfId="110" applyFont="1" applyFill="1" applyBorder="1" applyAlignment="1">
      <alignment vertical="center"/>
    </xf>
    <xf numFmtId="166" fontId="68" fillId="0" borderId="0" xfId="79" applyFont="1" applyFill="1" applyBorder="1" applyAlignment="1">
      <alignment vertical="center"/>
    </xf>
    <xf numFmtId="43" fontId="68" fillId="0" borderId="0" xfId="160" applyNumberFormat="1" applyFont="1" applyFill="1" applyBorder="1" applyAlignment="1">
      <alignment horizontal="right" vertical="center"/>
    </xf>
    <xf numFmtId="166" fontId="70" fillId="46" borderId="0" xfId="79" applyFont="1" applyFill="1" applyBorder="1" applyAlignment="1">
      <alignment vertical="center"/>
    </xf>
    <xf numFmtId="0" fontId="68" fillId="0" borderId="0" xfId="160" applyNumberFormat="1" applyFont="1" applyFill="1" applyBorder="1" applyAlignment="1">
      <alignment horizontal="right" vertical="center"/>
    </xf>
    <xf numFmtId="0" fontId="69" fillId="0" borderId="0" xfId="94" applyFont="1" applyFill="1" applyProtection="1"/>
    <xf numFmtId="0" fontId="71" fillId="0" borderId="0" xfId="94" applyFont="1" applyFill="1" applyAlignment="1" applyProtection="1">
      <alignment horizontal="left"/>
    </xf>
    <xf numFmtId="0" fontId="68" fillId="0" borderId="0" xfId="110" applyFont="1" applyFill="1" applyBorder="1" applyAlignment="1">
      <alignment horizontal="left" vertical="center"/>
    </xf>
    <xf numFmtId="165" fontId="68" fillId="0" borderId="11" xfId="110" applyNumberFormat="1" applyFont="1" applyFill="1" applyBorder="1" applyAlignment="1">
      <alignment horizontal="center" vertical="center"/>
    </xf>
    <xf numFmtId="0" fontId="68" fillId="0" borderId="12" xfId="110" applyFont="1" applyFill="1" applyBorder="1" applyAlignment="1">
      <alignment horizontal="left" vertical="center" wrapText="1"/>
    </xf>
    <xf numFmtId="0" fontId="68" fillId="0" borderId="12" xfId="110" applyFont="1" applyFill="1" applyBorder="1" applyAlignment="1">
      <alignment horizontal="center" vertical="center"/>
    </xf>
    <xf numFmtId="0" fontId="68" fillId="0" borderId="12" xfId="0" applyFont="1" applyFill="1" applyBorder="1" applyAlignment="1">
      <alignment horizontal="center" vertical="center"/>
    </xf>
    <xf numFmtId="0" fontId="68" fillId="0" borderId="12" xfId="110" applyFont="1" applyFill="1" applyBorder="1" applyAlignment="1">
      <alignment horizontal="center" vertical="center" wrapText="1"/>
    </xf>
    <xf numFmtId="0" fontId="68" fillId="0" borderId="13" xfId="110" applyFont="1" applyFill="1" applyBorder="1" applyAlignment="1">
      <alignment horizontal="center" vertical="center" wrapText="1"/>
    </xf>
    <xf numFmtId="0" fontId="69" fillId="0" borderId="14" xfId="110" applyFont="1" applyFill="1" applyBorder="1" applyAlignment="1">
      <alignment vertical="center" wrapText="1"/>
    </xf>
    <xf numFmtId="0" fontId="69" fillId="0" borderId="14" xfId="110" applyFont="1" applyFill="1" applyBorder="1" applyAlignment="1">
      <alignment horizontal="center" vertical="center"/>
    </xf>
    <xf numFmtId="0" fontId="68" fillId="0" borderId="15" xfId="110" applyFont="1" applyFill="1" applyBorder="1" applyAlignment="1">
      <alignment vertical="center" wrapText="1"/>
    </xf>
    <xf numFmtId="0" fontId="68" fillId="0" borderId="0" xfId="110" applyFont="1" applyFill="1" applyBorder="1" applyAlignment="1">
      <alignment vertical="center" wrapText="1"/>
    </xf>
    <xf numFmtId="0" fontId="69" fillId="0" borderId="0" xfId="0" applyFont="1" applyFill="1" applyAlignment="1">
      <alignment vertical="center"/>
    </xf>
    <xf numFmtId="165" fontId="69" fillId="0" borderId="0" xfId="0" applyNumberFormat="1" applyFont="1" applyFill="1" applyAlignment="1">
      <alignment vertical="center"/>
    </xf>
    <xf numFmtId="0" fontId="29" fillId="0" borderId="0" xfId="107" applyFont="1" applyFill="1" applyBorder="1" applyAlignment="1">
      <alignment horizontal="center"/>
    </xf>
    <xf numFmtId="0" fontId="30" fillId="0" borderId="0" xfId="107" applyFont="1" applyFill="1" applyBorder="1"/>
    <xf numFmtId="0" fontId="31" fillId="0" borderId="0" xfId="107" applyFont="1" applyFill="1" applyBorder="1"/>
    <xf numFmtId="164" fontId="30" fillId="0" borderId="0" xfId="160" applyFont="1" applyFill="1" applyBorder="1"/>
    <xf numFmtId="0" fontId="30" fillId="0" borderId="0" xfId="107" applyFont="1" applyFill="1" applyBorder="1" applyAlignment="1">
      <alignment horizontal="right"/>
    </xf>
    <xf numFmtId="43" fontId="30" fillId="0" borderId="0" xfId="159" applyFont="1" applyFill="1" applyBorder="1" applyAlignment="1">
      <alignment horizontal="right"/>
    </xf>
    <xf numFmtId="167" fontId="30" fillId="0" borderId="0" xfId="79" applyNumberFormat="1" applyFont="1" applyFill="1" applyBorder="1" applyAlignment="1">
      <alignment horizontal="right"/>
    </xf>
    <xf numFmtId="0" fontId="29" fillId="47" borderId="0" xfId="107" applyFont="1" applyFill="1" applyBorder="1" applyAlignment="1">
      <alignment horizontal="center" vertical="center"/>
    </xf>
    <xf numFmtId="0" fontId="29" fillId="47" borderId="0" xfId="107" applyFont="1" applyFill="1" applyBorder="1" applyAlignment="1" applyProtection="1">
      <alignment horizontal="center" vertical="center"/>
      <protection locked="0"/>
    </xf>
    <xf numFmtId="0" fontId="30" fillId="0" borderId="0" xfId="109" applyFont="1" applyFill="1" applyBorder="1" applyAlignment="1" applyProtection="1">
      <alignment horizontal="center" vertical="center"/>
    </xf>
    <xf numFmtId="0" fontId="30" fillId="0" borderId="0" xfId="109" applyFont="1" applyFill="1" applyBorder="1" applyAlignment="1" applyProtection="1">
      <alignment horizontal="left" vertical="center"/>
    </xf>
    <xf numFmtId="164" fontId="29" fillId="0" borderId="0" xfId="160" applyFont="1" applyFill="1" applyBorder="1" applyAlignment="1" applyProtection="1">
      <alignment horizontal="center" vertical="center"/>
    </xf>
    <xf numFmtId="166" fontId="29" fillId="0" borderId="0" xfId="79" applyFont="1" applyFill="1" applyBorder="1" applyAlignment="1" applyProtection="1">
      <alignment horizontal="center" vertical="center"/>
    </xf>
    <xf numFmtId="43" fontId="30" fillId="0" borderId="0" xfId="109" applyNumberFormat="1" applyFont="1" applyFill="1" applyBorder="1" applyAlignment="1" applyProtection="1">
      <alignment horizontal="center" vertical="center"/>
    </xf>
    <xf numFmtId="164" fontId="30" fillId="0" borderId="0" xfId="160" applyFont="1" applyFill="1" applyBorder="1" applyAlignment="1" applyProtection="1">
      <alignment horizontal="center" vertical="center"/>
    </xf>
    <xf numFmtId="166" fontId="30" fillId="0" borderId="0" xfId="79" applyFont="1" applyFill="1" applyBorder="1" applyAlignment="1" applyProtection="1">
      <alignment horizontal="center" vertical="center"/>
    </xf>
    <xf numFmtId="0" fontId="29" fillId="0" borderId="0" xfId="109" applyFont="1" applyFill="1" applyBorder="1" applyAlignment="1" applyProtection="1">
      <alignment horizontal="center" vertical="center"/>
    </xf>
    <xf numFmtId="164" fontId="29" fillId="47" borderId="0" xfId="160" applyFont="1" applyFill="1" applyBorder="1" applyAlignment="1" applyProtection="1">
      <alignment horizontal="right" vertical="center"/>
    </xf>
    <xf numFmtId="166" fontId="29" fillId="47" borderId="0" xfId="79" applyFont="1" applyFill="1" applyBorder="1" applyAlignment="1" applyProtection="1">
      <alignment horizontal="center" vertical="center"/>
    </xf>
    <xf numFmtId="0" fontId="30" fillId="0" borderId="0" xfId="107" applyFont="1" applyFill="1" applyBorder="1" applyAlignment="1">
      <alignment horizontal="center"/>
    </xf>
    <xf numFmtId="0" fontId="30" fillId="0" borderId="0" xfId="107" applyFont="1" applyFill="1" applyBorder="1" applyAlignment="1">
      <alignment horizontal="left"/>
    </xf>
    <xf numFmtId="166" fontId="30" fillId="0" borderId="0" xfId="79" applyFont="1" applyFill="1" applyBorder="1"/>
    <xf numFmtId="0" fontId="23" fillId="0" borderId="0" xfId="107" applyFont="1" applyFill="1" applyBorder="1" applyAlignment="1">
      <alignment horizontal="right"/>
    </xf>
    <xf numFmtId="0" fontId="30" fillId="46" borderId="0" xfId="93" applyFont="1" applyFill="1" applyBorder="1" applyAlignment="1">
      <alignment vertical="center"/>
    </xf>
    <xf numFmtId="0" fontId="29" fillId="46" borderId="0" xfId="93" applyFont="1" applyFill="1" applyBorder="1" applyAlignment="1">
      <alignment horizontal="left" vertical="center"/>
    </xf>
    <xf numFmtId="0" fontId="30" fillId="0" borderId="0" xfId="107" applyFont="1" applyFill="1" applyBorder="1" applyAlignment="1">
      <alignment horizontal="center" vertical="center"/>
    </xf>
    <xf numFmtId="168" fontId="30" fillId="0" borderId="0" xfId="160" applyNumberFormat="1" applyFont="1" applyFill="1" applyBorder="1" applyAlignment="1" applyProtection="1">
      <alignment horizontal="center" vertical="center"/>
    </xf>
    <xf numFmtId="0" fontId="30" fillId="0" borderId="0" xfId="107" applyFont="1" applyFill="1" applyAlignment="1">
      <alignment horizontal="center"/>
    </xf>
    <xf numFmtId="0" fontId="30" fillId="0" borderId="0" xfId="107" applyFont="1" applyFill="1" applyAlignment="1">
      <alignment horizontal="left"/>
    </xf>
    <xf numFmtId="0" fontId="30" fillId="0" borderId="0" xfId="107" applyFont="1" applyFill="1"/>
    <xf numFmtId="0" fontId="30" fillId="0" borderId="0" xfId="107" applyFont="1" applyFill="1" applyAlignment="1">
      <alignment horizontal="center" vertical="center"/>
    </xf>
    <xf numFmtId="164" fontId="30" fillId="0" borderId="0" xfId="160" applyFont="1" applyFill="1"/>
    <xf numFmtId="166" fontId="30" fillId="0" borderId="0" xfId="79" applyFont="1" applyFill="1"/>
    <xf numFmtId="0" fontId="70" fillId="0" borderId="0" xfId="92" applyFont="1" applyFill="1" applyAlignment="1">
      <alignment horizontal="center"/>
    </xf>
    <xf numFmtId="0" fontId="72" fillId="0" borderId="0" xfId="92" applyFont="1" applyFill="1" applyAlignment="1"/>
    <xf numFmtId="0" fontId="72" fillId="0" borderId="0" xfId="92" applyFont="1" applyFill="1"/>
    <xf numFmtId="0" fontId="73" fillId="0" borderId="33" xfId="92" applyFont="1" applyFill="1" applyBorder="1" applyAlignment="1">
      <alignment vertical="center"/>
    </xf>
    <xf numFmtId="4" fontId="73" fillId="0" borderId="34" xfId="92" applyNumberFormat="1" applyFont="1" applyFill="1" applyBorder="1" applyAlignment="1">
      <alignment horizontal="center"/>
    </xf>
    <xf numFmtId="4" fontId="73" fillId="0" borderId="35" xfId="92" applyNumberFormat="1" applyFont="1" applyFill="1" applyBorder="1" applyAlignment="1">
      <alignment horizontal="center"/>
    </xf>
    <xf numFmtId="4" fontId="73" fillId="0" borderId="33" xfId="92" applyNumberFormat="1" applyFont="1" applyFill="1" applyBorder="1" applyAlignment="1">
      <alignment horizontal="center"/>
    </xf>
    <xf numFmtId="0" fontId="73" fillId="0" borderId="36" xfId="92" applyFont="1" applyFill="1" applyBorder="1" applyAlignment="1">
      <alignment vertical="center"/>
    </xf>
    <xf numFmtId="4" fontId="73" fillId="0" borderId="0" xfId="92" applyNumberFormat="1" applyFont="1" applyFill="1" applyAlignment="1">
      <alignment horizontal="center"/>
    </xf>
    <xf numFmtId="4" fontId="73" fillId="0" borderId="37" xfId="92" applyNumberFormat="1" applyFont="1" applyFill="1" applyBorder="1" applyAlignment="1">
      <alignment horizontal="center"/>
    </xf>
    <xf numFmtId="4" fontId="73" fillId="0" borderId="38" xfId="92" applyNumberFormat="1" applyFont="1" applyFill="1" applyBorder="1" applyAlignment="1">
      <alignment horizontal="center"/>
    </xf>
    <xf numFmtId="0" fontId="73" fillId="0" borderId="13" xfId="92" applyFont="1" applyFill="1" applyBorder="1" applyAlignment="1">
      <alignment vertical="center"/>
    </xf>
    <xf numFmtId="0" fontId="73" fillId="0" borderId="36" xfId="92" applyFont="1" applyFill="1" applyBorder="1" applyAlignment="1">
      <alignment horizontal="center"/>
    </xf>
    <xf numFmtId="0" fontId="73" fillId="0" borderId="0" xfId="92" applyFont="1" applyFill="1" applyBorder="1" applyAlignment="1">
      <alignment vertical="center"/>
    </xf>
    <xf numFmtId="4" fontId="73" fillId="0" borderId="0" xfId="92" applyNumberFormat="1" applyFont="1" applyFill="1" applyBorder="1" applyAlignment="1">
      <alignment horizontal="center"/>
    </xf>
    <xf numFmtId="0" fontId="70" fillId="0" borderId="0" xfId="92" applyFont="1" applyFill="1" applyBorder="1" applyAlignment="1">
      <alignment vertical="center"/>
    </xf>
    <xf numFmtId="0" fontId="73" fillId="0" borderId="0" xfId="92" applyFont="1" applyFill="1" applyAlignment="1"/>
    <xf numFmtId="0" fontId="70" fillId="0" borderId="0" xfId="92" applyFont="1" applyFill="1" applyAlignment="1"/>
    <xf numFmtId="0" fontId="28" fillId="0" borderId="0" xfId="0" applyFont="1" applyFill="1" applyBorder="1" applyAlignment="1">
      <alignment vertical="center"/>
    </xf>
    <xf numFmtId="0" fontId="28" fillId="0" borderId="0" xfId="160" applyNumberFormat="1" applyFont="1" applyFill="1" applyBorder="1" applyAlignment="1">
      <alignment horizontal="right" vertical="center"/>
    </xf>
    <xf numFmtId="164" fontId="28" fillId="0" borderId="0" xfId="160" applyFont="1" applyFill="1" applyAlignment="1">
      <alignment horizontal="center" vertical="center"/>
    </xf>
    <xf numFmtId="0" fontId="28" fillId="0" borderId="0" xfId="0" applyFont="1" applyFill="1" applyAlignment="1">
      <alignment vertical="center"/>
    </xf>
    <xf numFmtId="0" fontId="34" fillId="0" borderId="0" xfId="0" applyFont="1" applyFill="1" applyBorder="1" applyAlignment="1">
      <alignment horizontal="center" vertical="center"/>
    </xf>
    <xf numFmtId="0" fontId="28" fillId="0" borderId="20" xfId="0" applyFont="1" applyFill="1" applyBorder="1" applyAlignment="1">
      <alignment horizontal="center" vertical="center"/>
    </xf>
    <xf numFmtId="0" fontId="28" fillId="0" borderId="11" xfId="0" applyFont="1" applyFill="1" applyBorder="1" applyAlignment="1">
      <alignment vertical="center"/>
    </xf>
    <xf numFmtId="10" fontId="28" fillId="0" borderId="11" xfId="113" applyNumberFormat="1" applyFont="1" applyFill="1" applyBorder="1" applyAlignment="1">
      <alignment horizontal="center" vertical="center"/>
    </xf>
    <xf numFmtId="10" fontId="28" fillId="0" borderId="14" xfId="113" applyNumberFormat="1" applyFont="1" applyFill="1" applyBorder="1" applyAlignment="1">
      <alignment horizontal="center" vertical="center"/>
    </xf>
    <xf numFmtId="166" fontId="28" fillId="0" borderId="14" xfId="79" applyFont="1" applyFill="1" applyBorder="1" applyAlignment="1">
      <alignment horizontal="center" vertical="center"/>
    </xf>
    <xf numFmtId="0" fontId="28" fillId="0" borderId="21" xfId="0" applyFont="1" applyFill="1" applyBorder="1" applyAlignment="1">
      <alignment horizontal="center" vertical="center"/>
    </xf>
    <xf numFmtId="0" fontId="32" fillId="0" borderId="11" xfId="0" applyFont="1" applyFill="1" applyBorder="1" applyAlignment="1">
      <alignment vertical="center"/>
    </xf>
    <xf numFmtId="0" fontId="32" fillId="0" borderId="12" xfId="0" applyFont="1" applyFill="1" applyBorder="1" applyAlignment="1">
      <alignment vertical="center"/>
    </xf>
    <xf numFmtId="166" fontId="32" fillId="0" borderId="14" xfId="79" applyFont="1" applyFill="1" applyBorder="1" applyAlignment="1">
      <alignment vertical="center"/>
    </xf>
    <xf numFmtId="0" fontId="32" fillId="0" borderId="14" xfId="0" applyFont="1" applyFill="1" applyBorder="1" applyAlignment="1">
      <alignment vertical="center"/>
    </xf>
    <xf numFmtId="166" fontId="32" fillId="0" borderId="19" xfId="79" applyFont="1" applyFill="1" applyBorder="1" applyAlignment="1">
      <alignment vertical="center"/>
    </xf>
    <xf numFmtId="0" fontId="68" fillId="0" borderId="11" xfId="0" applyFont="1" applyFill="1" applyBorder="1" applyAlignment="1">
      <alignment vertical="center"/>
    </xf>
    <xf numFmtId="0" fontId="68" fillId="0" borderId="12" xfId="0" applyFont="1" applyFill="1" applyBorder="1" applyAlignment="1">
      <alignment vertical="center"/>
    </xf>
    <xf numFmtId="0" fontId="74" fillId="0" borderId="11" xfId="160" applyNumberFormat="1" applyFont="1" applyFill="1" applyBorder="1" applyAlignment="1">
      <alignment horizontal="left" vertical="center"/>
    </xf>
    <xf numFmtId="0" fontId="74" fillId="0" borderId="13" xfId="160" applyNumberFormat="1" applyFont="1" applyFill="1" applyBorder="1" applyAlignment="1">
      <alignment horizontal="left" vertical="center"/>
    </xf>
    <xf numFmtId="0" fontId="74" fillId="0" borderId="12" xfId="160" applyNumberFormat="1" applyFont="1" applyFill="1" applyBorder="1" applyAlignment="1">
      <alignment horizontal="left" vertical="center"/>
    </xf>
    <xf numFmtId="166" fontId="66" fillId="46" borderId="0" xfId="79" applyFont="1" applyFill="1" applyBorder="1" applyAlignment="1">
      <alignment horizontal="center" vertical="center"/>
    </xf>
    <xf numFmtId="0" fontId="35" fillId="0" borderId="0" xfId="110" applyFont="1" applyFill="1" applyBorder="1" applyAlignment="1">
      <alignment vertical="center"/>
    </xf>
    <xf numFmtId="0" fontId="36" fillId="0" borderId="0" xfId="110" applyFont="1" applyFill="1" applyBorder="1" applyAlignment="1">
      <alignment vertical="center"/>
    </xf>
    <xf numFmtId="0" fontId="66" fillId="0" borderId="0" xfId="92" applyFont="1" applyFill="1" applyBorder="1" applyAlignment="1">
      <alignment vertical="center"/>
    </xf>
    <xf numFmtId="0" fontId="76" fillId="0" borderId="0" xfId="92" applyFont="1" applyFill="1" applyBorder="1" applyAlignment="1">
      <alignment vertical="center"/>
    </xf>
    <xf numFmtId="0" fontId="66" fillId="0" borderId="0" xfId="92" applyFont="1" applyFill="1" applyBorder="1" applyAlignment="1">
      <alignment horizontal="center" vertical="center"/>
    </xf>
    <xf numFmtId="0" fontId="23" fillId="0" borderId="0" xfId="107" applyFont="1" applyFill="1" applyAlignment="1">
      <alignment horizontal="center"/>
    </xf>
    <xf numFmtId="164" fontId="24" fillId="0" borderId="0" xfId="160" applyFont="1" applyFill="1" applyAlignment="1">
      <alignment horizontal="center"/>
    </xf>
    <xf numFmtId="164" fontId="23" fillId="0" borderId="0" xfId="160" applyFont="1" applyFill="1" applyAlignment="1">
      <alignment horizontal="center"/>
    </xf>
    <xf numFmtId="0" fontId="30" fillId="0" borderId="0" xfId="0" applyFont="1" applyBorder="1"/>
    <xf numFmtId="0" fontId="30" fillId="0" borderId="23" xfId="0" applyFont="1" applyBorder="1"/>
    <xf numFmtId="0" fontId="30" fillId="0" borderId="24" xfId="0" applyFont="1" applyBorder="1"/>
    <xf numFmtId="0" fontId="30" fillId="0" borderId="14" xfId="0" applyFont="1" applyBorder="1"/>
    <xf numFmtId="0" fontId="30" fillId="0" borderId="17" xfId="0" applyFont="1" applyBorder="1"/>
    <xf numFmtId="0" fontId="30" fillId="0" borderId="18" xfId="0" applyFont="1" applyBorder="1"/>
    <xf numFmtId="0" fontId="30" fillId="0" borderId="0" xfId="0" applyFont="1"/>
    <xf numFmtId="0" fontId="30" fillId="0" borderId="14" xfId="0" applyFont="1" applyBorder="1" applyAlignment="1">
      <alignment horizontal="center"/>
    </xf>
    <xf numFmtId="2" fontId="30" fillId="0" borderId="14" xfId="0" applyNumberFormat="1" applyFont="1" applyBorder="1"/>
    <xf numFmtId="0" fontId="0" fillId="0" borderId="18" xfId="0" applyBorder="1"/>
    <xf numFmtId="0" fontId="32" fillId="0" borderId="0" xfId="110" applyFont="1" applyFill="1" applyBorder="1" applyAlignment="1">
      <alignment vertical="center"/>
    </xf>
    <xf numFmtId="0" fontId="32" fillId="0" borderId="0" xfId="110" applyFont="1" applyFill="1" applyBorder="1" applyAlignment="1">
      <alignment horizontal="right" vertical="center"/>
    </xf>
    <xf numFmtId="0" fontId="32" fillId="0" borderId="0" xfId="110" applyFont="1" applyFill="1" applyBorder="1" applyAlignment="1">
      <alignment horizontal="left" vertical="center"/>
    </xf>
    <xf numFmtId="0" fontId="34" fillId="0" borderId="0" xfId="0" applyFont="1" applyFill="1" applyBorder="1" applyAlignment="1">
      <alignment vertical="center"/>
    </xf>
    <xf numFmtId="9" fontId="28" fillId="0" borderId="0" xfId="113" applyFont="1" applyFill="1" applyBorder="1" applyAlignment="1">
      <alignment vertical="center"/>
    </xf>
    <xf numFmtId="172" fontId="28" fillId="0" borderId="0" xfId="160" applyNumberFormat="1" applyFont="1" applyFill="1" applyBorder="1" applyAlignment="1">
      <alignment vertical="center"/>
    </xf>
    <xf numFmtId="0" fontId="30" fillId="0" borderId="11" xfId="0" applyFont="1" applyFill="1" applyBorder="1"/>
    <xf numFmtId="166" fontId="30" fillId="0" borderId="13" xfId="79" applyFont="1" applyFill="1" applyBorder="1"/>
    <xf numFmtId="0" fontId="68" fillId="0" borderId="0" xfId="0" applyFont="1" applyFill="1" applyBorder="1" applyAlignment="1">
      <alignment horizontal="left" vertical="center" wrapText="1"/>
    </xf>
    <xf numFmtId="0" fontId="68" fillId="0" borderId="14" xfId="110" applyFont="1" applyFill="1" applyBorder="1" applyAlignment="1">
      <alignment vertical="center"/>
    </xf>
    <xf numFmtId="43" fontId="68" fillId="0" borderId="11" xfId="159" applyFont="1" applyFill="1" applyBorder="1" applyAlignment="1">
      <alignment vertical="center"/>
    </xf>
    <xf numFmtId="164" fontId="68" fillId="0" borderId="11" xfId="0" applyNumberFormat="1" applyFont="1" applyFill="1" applyBorder="1" applyAlignment="1">
      <alignment vertical="center"/>
    </xf>
    <xf numFmtId="43" fontId="68" fillId="0" borderId="11" xfId="159" applyFont="1" applyFill="1" applyBorder="1" applyAlignment="1">
      <alignment horizontal="right" vertical="center"/>
    </xf>
    <xf numFmtId="2" fontId="70" fillId="0" borderId="21" xfId="92" applyNumberFormat="1" applyFont="1" applyFill="1" applyBorder="1" applyAlignment="1">
      <alignment horizontal="center"/>
    </xf>
    <xf numFmtId="43" fontId="68" fillId="0" borderId="0" xfId="110" applyNumberFormat="1" applyFont="1" applyFill="1" applyBorder="1" applyAlignment="1">
      <alignment vertical="center"/>
    </xf>
    <xf numFmtId="166" fontId="29" fillId="47" borderId="0" xfId="79" applyFont="1" applyFill="1" applyBorder="1" applyAlignment="1" applyProtection="1">
      <alignment horizontal="center" vertical="center"/>
    </xf>
    <xf numFmtId="10" fontId="30" fillId="0" borderId="12" xfId="0" applyNumberFormat="1" applyFont="1" applyFill="1" applyBorder="1" applyAlignment="1">
      <alignment horizontal="left"/>
    </xf>
    <xf numFmtId="0" fontId="30" fillId="47" borderId="11" xfId="0" applyFont="1" applyFill="1" applyBorder="1"/>
    <xf numFmtId="0" fontId="30" fillId="47" borderId="12" xfId="0" applyFont="1" applyFill="1" applyBorder="1"/>
    <xf numFmtId="166" fontId="30" fillId="47" borderId="13" xfId="79" applyFont="1" applyFill="1" applyBorder="1"/>
    <xf numFmtId="0" fontId="30" fillId="47" borderId="17" xfId="0" applyFont="1" applyFill="1" applyBorder="1"/>
    <xf numFmtId="0" fontId="30" fillId="47" borderId="18" xfId="0" applyFont="1" applyFill="1" applyBorder="1"/>
    <xf numFmtId="166" fontId="30" fillId="47" borderId="25" xfId="79" applyFont="1" applyFill="1" applyBorder="1"/>
    <xf numFmtId="0" fontId="29" fillId="47" borderId="20" xfId="0" applyFont="1" applyFill="1" applyBorder="1" applyAlignment="1">
      <alignment horizontal="left"/>
    </xf>
    <xf numFmtId="0" fontId="29" fillId="47" borderId="15" xfId="0" applyFont="1" applyFill="1" applyBorder="1" applyAlignment="1">
      <alignment horizontal="center"/>
    </xf>
    <xf numFmtId="0" fontId="29" fillId="47" borderId="16" xfId="0" applyFont="1" applyFill="1" applyBorder="1" applyAlignment="1">
      <alignment horizontal="center"/>
    </xf>
    <xf numFmtId="0" fontId="30" fillId="47" borderId="14" xfId="0" applyFont="1" applyFill="1" applyBorder="1"/>
    <xf numFmtId="0" fontId="29" fillId="0" borderId="0" xfId="107" applyFont="1" applyFill="1" applyBorder="1"/>
    <xf numFmtId="173" fontId="3" fillId="0" borderId="0" xfId="0" applyNumberFormat="1" applyFont="1"/>
    <xf numFmtId="164" fontId="77" fillId="0" borderId="0" xfId="160" applyFont="1" applyFill="1" applyAlignment="1">
      <alignment horizontal="center" vertical="center"/>
    </xf>
    <xf numFmtId="0" fontId="77" fillId="0" borderId="0" xfId="0" applyFont="1" applyFill="1" applyAlignment="1">
      <alignment horizontal="center" vertical="center"/>
    </xf>
    <xf numFmtId="0" fontId="77" fillId="0" borderId="0" xfId="0" applyFont="1" applyFill="1" applyAlignment="1">
      <alignment vertical="center"/>
    </xf>
    <xf numFmtId="164" fontId="77" fillId="0" borderId="0" xfId="0" applyNumberFormat="1" applyFont="1" applyFill="1" applyAlignment="1">
      <alignment vertical="center"/>
    </xf>
    <xf numFmtId="0" fontId="30" fillId="0" borderId="0" xfId="0" applyFont="1" applyBorder="1" applyAlignment="1">
      <alignment horizontal="center"/>
    </xf>
    <xf numFmtId="0" fontId="30" fillId="0" borderId="14" xfId="0" applyFont="1" applyBorder="1" applyAlignment="1">
      <alignment horizontal="right"/>
    </xf>
    <xf numFmtId="0" fontId="0" fillId="0" borderId="0" xfId="0" applyBorder="1"/>
    <xf numFmtId="2" fontId="30" fillId="0" borderId="14" xfId="0" applyNumberFormat="1" applyFont="1" applyBorder="1" applyAlignment="1">
      <alignment horizontal="center"/>
    </xf>
    <xf numFmtId="0" fontId="29" fillId="0" borderId="0" xfId="109" applyFont="1" applyFill="1" applyBorder="1" applyAlignment="1" applyProtection="1">
      <alignment horizontal="left" vertical="center"/>
    </xf>
    <xf numFmtId="0" fontId="28" fillId="47" borderId="18" xfId="0" applyFont="1" applyFill="1" applyBorder="1"/>
    <xf numFmtId="0" fontId="28" fillId="0" borderId="0" xfId="0" applyFont="1"/>
    <xf numFmtId="0" fontId="28" fillId="0" borderId="18" xfId="0" applyFont="1" applyBorder="1"/>
    <xf numFmtId="177" fontId="30" fillId="0" borderId="14" xfId="0" applyNumberFormat="1" applyFont="1" applyBorder="1" applyAlignment="1">
      <alignment horizontal="center"/>
    </xf>
    <xf numFmtId="0" fontId="69" fillId="0" borderId="25" xfId="160" applyNumberFormat="1" applyFont="1" applyFill="1" applyBorder="1" applyAlignment="1">
      <alignment horizontal="right" vertical="center"/>
    </xf>
    <xf numFmtId="0" fontId="30" fillId="0" borderId="13" xfId="160" applyNumberFormat="1" applyFont="1" applyFill="1" applyBorder="1" applyAlignment="1">
      <alignment horizontal="right" vertical="center"/>
    </xf>
    <xf numFmtId="0" fontId="68" fillId="0" borderId="13" xfId="160" applyNumberFormat="1" applyFont="1" applyFill="1" applyBorder="1" applyAlignment="1">
      <alignment horizontal="right" vertical="center"/>
    </xf>
    <xf numFmtId="0" fontId="69" fillId="0" borderId="13" xfId="160" applyNumberFormat="1" applyFont="1" applyFill="1" applyBorder="1" applyAlignment="1">
      <alignment horizontal="right" vertical="center"/>
    </xf>
    <xf numFmtId="0" fontId="68" fillId="0" borderId="16" xfId="160" applyNumberFormat="1" applyFont="1" applyFill="1" applyBorder="1" applyAlignment="1">
      <alignment horizontal="right" vertical="center"/>
    </xf>
    <xf numFmtId="0" fontId="29" fillId="0" borderId="16" xfId="160" applyNumberFormat="1" applyFont="1" applyFill="1" applyBorder="1" applyAlignment="1">
      <alignment horizontal="right" vertical="center"/>
    </xf>
    <xf numFmtId="0" fontId="68" fillId="0" borderId="14" xfId="160" applyNumberFormat="1" applyFont="1" applyFill="1" applyBorder="1" applyAlignment="1">
      <alignment horizontal="right" vertical="center" wrapText="1"/>
    </xf>
    <xf numFmtId="0" fontId="69" fillId="0" borderId="19" xfId="160" applyNumberFormat="1" applyFont="1" applyFill="1" applyBorder="1" applyAlignment="1">
      <alignment horizontal="right" vertical="center"/>
    </xf>
    <xf numFmtId="0" fontId="30" fillId="0" borderId="14" xfId="160" applyNumberFormat="1" applyFont="1" applyFill="1" applyBorder="1" applyAlignment="1">
      <alignment horizontal="right" vertical="center"/>
    </xf>
    <xf numFmtId="0" fontId="68" fillId="0" borderId="14" xfId="160" applyNumberFormat="1" applyFont="1" applyFill="1" applyBorder="1" applyAlignment="1">
      <alignment horizontal="right" vertical="center"/>
    </xf>
    <xf numFmtId="0" fontId="69" fillId="0" borderId="14" xfId="160" applyNumberFormat="1" applyFont="1" applyFill="1" applyBorder="1" applyAlignment="1">
      <alignment horizontal="right" vertical="center"/>
    </xf>
    <xf numFmtId="0" fontId="68" fillId="0" borderId="21" xfId="160" applyNumberFormat="1" applyFont="1" applyFill="1" applyBorder="1" applyAlignment="1">
      <alignment horizontal="right" vertical="center"/>
    </xf>
    <xf numFmtId="0" fontId="69" fillId="0" borderId="0" xfId="160" applyNumberFormat="1" applyFont="1" applyFill="1" applyAlignment="1">
      <alignment horizontal="right" vertical="center"/>
    </xf>
    <xf numFmtId="0" fontId="69" fillId="0" borderId="0" xfId="0" applyFont="1" applyFill="1" applyAlignment="1">
      <alignment vertical="center" wrapText="1"/>
    </xf>
    <xf numFmtId="0" fontId="69" fillId="0" borderId="0" xfId="160" applyNumberFormat="1" applyFont="1" applyFill="1" applyBorder="1" applyAlignment="1">
      <alignment horizontal="right" vertical="center"/>
    </xf>
    <xf numFmtId="165" fontId="68" fillId="0" borderId="0" xfId="94" applyNumberFormat="1" applyFont="1" applyFill="1" applyBorder="1" applyAlignment="1">
      <alignment vertical="center"/>
    </xf>
    <xf numFmtId="0" fontId="69" fillId="0" borderId="0" xfId="0" applyFont="1" applyFill="1" applyBorder="1" applyAlignment="1">
      <alignment vertical="center" wrapText="1"/>
    </xf>
    <xf numFmtId="0" fontId="69" fillId="0" borderId="0" xfId="0" applyFont="1" applyFill="1" applyBorder="1" applyAlignment="1">
      <alignment vertical="center"/>
    </xf>
    <xf numFmtId="43" fontId="69" fillId="0" borderId="0" xfId="0" applyNumberFormat="1" applyFont="1" applyFill="1" applyBorder="1" applyAlignment="1">
      <alignment vertical="center"/>
    </xf>
    <xf numFmtId="0" fontId="68" fillId="0" borderId="0" xfId="110" applyFont="1" applyFill="1" applyBorder="1" applyAlignment="1">
      <alignment horizontal="center" vertical="center"/>
    </xf>
    <xf numFmtId="43" fontId="68" fillId="0" borderId="0" xfId="159" applyFont="1" applyFill="1" applyBorder="1" applyAlignment="1">
      <alignment horizontal="right" vertical="center"/>
    </xf>
    <xf numFmtId="0" fontId="68" fillId="0" borderId="18" xfId="110" applyFont="1" applyFill="1" applyBorder="1" applyAlignment="1">
      <alignment vertical="center"/>
    </xf>
    <xf numFmtId="43" fontId="68" fillId="0" borderId="18" xfId="159" applyFont="1" applyFill="1" applyBorder="1" applyAlignment="1">
      <alignment vertical="center"/>
    </xf>
    <xf numFmtId="0" fontId="68" fillId="0" borderId="24" xfId="110" applyFont="1" applyFill="1" applyBorder="1" applyAlignment="1">
      <alignment vertical="center"/>
    </xf>
    <xf numFmtId="0" fontId="68" fillId="0" borderId="17" xfId="110" applyFont="1" applyFill="1" applyBorder="1" applyAlignment="1">
      <alignment vertical="center"/>
    </xf>
    <xf numFmtId="166" fontId="28" fillId="0" borderId="21" xfId="79" applyFont="1" applyFill="1" applyBorder="1" applyAlignment="1">
      <alignment vertical="center"/>
    </xf>
    <xf numFmtId="0" fontId="30" fillId="0" borderId="14" xfId="0" applyFont="1" applyBorder="1" applyAlignment="1">
      <alignment wrapText="1"/>
    </xf>
    <xf numFmtId="14" fontId="65" fillId="0" borderId="0" xfId="160" applyNumberFormat="1" applyFont="1" applyFill="1" applyAlignment="1">
      <alignment horizontal="center" vertical="center"/>
    </xf>
    <xf numFmtId="0" fontId="66" fillId="0" borderId="0" xfId="110" applyNumberFormat="1" applyFont="1" applyFill="1" applyBorder="1" applyAlignment="1">
      <alignment horizontal="left" vertical="center"/>
    </xf>
    <xf numFmtId="0" fontId="76" fillId="0" borderId="0" xfId="167" applyFont="1" applyAlignment="1">
      <alignment vertical="center"/>
    </xf>
    <xf numFmtId="0" fontId="66" fillId="0" borderId="0" xfId="167" applyFont="1" applyAlignment="1">
      <alignment vertical="center"/>
    </xf>
    <xf numFmtId="0" fontId="66" fillId="0" borderId="0" xfId="167" applyNumberFormat="1" applyFont="1" applyFill="1" applyAlignment="1">
      <alignment horizontal="right" vertical="center"/>
    </xf>
    <xf numFmtId="0" fontId="83" fillId="48" borderId="41" xfId="167" applyFont="1" applyFill="1" applyBorder="1" applyAlignment="1">
      <alignment horizontal="left" vertical="center" indent="1"/>
    </xf>
    <xf numFmtId="0" fontId="84" fillId="48" borderId="42" xfId="167" applyFont="1" applyFill="1" applyBorder="1" applyAlignment="1">
      <alignment vertical="center"/>
    </xf>
    <xf numFmtId="0" fontId="83" fillId="48" borderId="43" xfId="167" applyFont="1" applyFill="1" applyBorder="1" applyAlignment="1">
      <alignment horizontal="right" vertical="center" indent="1"/>
    </xf>
    <xf numFmtId="0" fontId="66" fillId="0" borderId="0" xfId="167" applyFont="1" applyAlignment="1">
      <alignment horizontal="center" vertical="center"/>
    </xf>
    <xf numFmtId="0" fontId="66" fillId="0" borderId="44" xfId="167" applyFont="1" applyBorder="1" applyAlignment="1">
      <alignment horizontal="center" vertical="center"/>
    </xf>
    <xf numFmtId="10" fontId="76" fillId="0" borderId="0" xfId="168" applyNumberFormat="1" applyFont="1" applyAlignment="1">
      <alignment horizontal="center" vertical="center"/>
    </xf>
    <xf numFmtId="0" fontId="76" fillId="0" borderId="44" xfId="167" applyFont="1" applyBorder="1" applyAlignment="1">
      <alignment horizontal="center" vertical="center"/>
    </xf>
    <xf numFmtId="0" fontId="76" fillId="0" borderId="44" xfId="167" applyFont="1" applyBorder="1" applyAlignment="1">
      <alignment horizontal="left" vertical="center" indent="1"/>
    </xf>
    <xf numFmtId="10" fontId="76" fillId="0" borderId="44" xfId="168" applyNumberFormat="1" applyFont="1" applyBorder="1" applyAlignment="1">
      <alignment horizontal="center" vertical="center"/>
    </xf>
    <xf numFmtId="0" fontId="76" fillId="50" borderId="44" xfId="167" applyFont="1" applyFill="1" applyBorder="1" applyAlignment="1">
      <alignment horizontal="center" vertical="center"/>
    </xf>
    <xf numFmtId="0" fontId="76" fillId="50" borderId="44" xfId="167" applyFont="1" applyFill="1" applyBorder="1" applyAlignment="1">
      <alignment horizontal="left" vertical="center" indent="1"/>
    </xf>
    <xf numFmtId="10" fontId="76" fillId="50" borderId="44" xfId="168" applyNumberFormat="1" applyFont="1" applyFill="1" applyBorder="1" applyAlignment="1">
      <alignment horizontal="center" vertical="center"/>
    </xf>
    <xf numFmtId="0" fontId="66" fillId="50" borderId="44" xfId="167" applyFont="1" applyFill="1" applyBorder="1" applyAlignment="1">
      <alignment horizontal="center" vertical="center"/>
    </xf>
    <xf numFmtId="10" fontId="66" fillId="50" borderId="44" xfId="168" applyNumberFormat="1" applyFont="1" applyFill="1" applyBorder="1" applyAlignment="1">
      <alignment horizontal="center" vertical="center"/>
    </xf>
    <xf numFmtId="10" fontId="66" fillId="0" borderId="0" xfId="168" applyNumberFormat="1" applyFont="1" applyAlignment="1">
      <alignment horizontal="center" vertical="center"/>
    </xf>
    <xf numFmtId="10" fontId="66" fillId="0" borderId="44" xfId="168" applyNumberFormat="1" applyFont="1" applyBorder="1" applyAlignment="1">
      <alignment horizontal="center" vertical="center"/>
    </xf>
    <xf numFmtId="0" fontId="76" fillId="50" borderId="44" xfId="167" applyFont="1" applyFill="1" applyBorder="1" applyAlignment="1">
      <alignment horizontal="left" vertical="center" wrapText="1" indent="1"/>
    </xf>
    <xf numFmtId="10" fontId="83" fillId="49" borderId="44" xfId="168" applyNumberFormat="1" applyFont="1" applyFill="1" applyBorder="1" applyAlignment="1">
      <alignment horizontal="center" vertical="center"/>
    </xf>
    <xf numFmtId="0" fontId="66" fillId="0" borderId="0" xfId="110" applyFont="1" applyFill="1" applyBorder="1" applyAlignment="1">
      <alignment vertical="center"/>
    </xf>
    <xf numFmtId="166" fontId="66" fillId="46" borderId="0" xfId="79" applyFont="1" applyFill="1" applyBorder="1" applyAlignment="1">
      <alignment vertical="center"/>
    </xf>
    <xf numFmtId="2" fontId="30" fillId="0" borderId="14" xfId="0" applyNumberFormat="1" applyFont="1" applyFill="1" applyBorder="1"/>
    <xf numFmtId="164" fontId="77" fillId="0" borderId="0" xfId="160" applyFont="1" applyFill="1" applyBorder="1" applyAlignment="1">
      <alignment horizontal="center" vertical="center"/>
    </xf>
    <xf numFmtId="0" fontId="30" fillId="0" borderId="24" xfId="160" applyNumberFormat="1" applyFont="1" applyFill="1" applyBorder="1" applyAlignment="1">
      <alignment horizontal="right" vertical="center"/>
    </xf>
    <xf numFmtId="164" fontId="65" fillId="0" borderId="24" xfId="160" applyFont="1" applyFill="1" applyBorder="1" applyAlignment="1">
      <alignment horizontal="center" vertical="center"/>
    </xf>
    <xf numFmtId="0" fontId="65" fillId="0" borderId="0" xfId="0" applyFont="1" applyFill="1" applyBorder="1" applyAlignment="1">
      <alignment vertical="center"/>
    </xf>
    <xf numFmtId="166" fontId="69" fillId="0" borderId="25" xfId="79" applyFont="1" applyFill="1" applyBorder="1" applyAlignment="1">
      <alignment vertical="center"/>
    </xf>
    <xf numFmtId="0" fontId="75" fillId="0" borderId="0" xfId="110" applyFont="1" applyFill="1" applyBorder="1" applyAlignment="1">
      <alignment horizontal="left" vertical="center"/>
    </xf>
    <xf numFmtId="0" fontId="29" fillId="0" borderId="0" xfId="0" applyFont="1" applyFill="1" applyAlignment="1">
      <alignment horizontal="left" vertical="center"/>
    </xf>
    <xf numFmtId="0" fontId="24" fillId="0" borderId="0" xfId="0" applyFont="1"/>
    <xf numFmtId="0" fontId="3" fillId="0" borderId="0" xfId="0" applyFont="1"/>
    <xf numFmtId="0" fontId="3" fillId="0" borderId="0" xfId="0" applyFont="1" applyBorder="1"/>
    <xf numFmtId="0" fontId="24" fillId="0" borderId="14" xfId="0" applyFont="1" applyFill="1" applyBorder="1"/>
    <xf numFmtId="0" fontId="24" fillId="0" borderId="14" xfId="0" applyFont="1" applyFill="1" applyBorder="1" applyAlignment="1">
      <alignment horizontal="center"/>
    </xf>
    <xf numFmtId="2" fontId="24" fillId="0" borderId="14" xfId="0" applyNumberFormat="1" applyFont="1" applyBorder="1"/>
    <xf numFmtId="2" fontId="24" fillId="0" borderId="14" xfId="0" applyNumberFormat="1" applyFont="1" applyFill="1" applyBorder="1"/>
    <xf numFmtId="0" fontId="24" fillId="0" borderId="0" xfId="0" applyFont="1" applyBorder="1" applyAlignment="1">
      <alignment horizontal="center"/>
    </xf>
    <xf numFmtId="0" fontId="24" fillId="0" borderId="14" xfId="0" applyFont="1" applyBorder="1"/>
    <xf numFmtId="0" fontId="24" fillId="0" borderId="14" xfId="0" applyFont="1" applyBorder="1" applyAlignment="1">
      <alignment horizontal="center"/>
    </xf>
    <xf numFmtId="0" fontId="23" fillId="0" borderId="14" xfId="0" applyFont="1" applyBorder="1"/>
    <xf numFmtId="0" fontId="24" fillId="0" borderId="24" xfId="0" applyFont="1" applyBorder="1"/>
    <xf numFmtId="0" fontId="24" fillId="0" borderId="0" xfId="0" applyFont="1" applyBorder="1"/>
    <xf numFmtId="0" fontId="24" fillId="0" borderId="23" xfId="0" applyFont="1" applyBorder="1"/>
    <xf numFmtId="0" fontId="24" fillId="0" borderId="11" xfId="0" applyFont="1" applyFill="1" applyBorder="1"/>
    <xf numFmtId="10" fontId="24" fillId="0" borderId="12" xfId="0" applyNumberFormat="1" applyFont="1" applyFill="1" applyBorder="1" applyAlignment="1">
      <alignment horizontal="left"/>
    </xf>
    <xf numFmtId="166" fontId="24" fillId="0" borderId="13" xfId="79" applyFont="1" applyFill="1" applyBorder="1"/>
    <xf numFmtId="0" fontId="24" fillId="0" borderId="17" xfId="0" applyFont="1" applyBorder="1"/>
    <xf numFmtId="0" fontId="24" fillId="0" borderId="18" xfId="0" applyFont="1" applyBorder="1"/>
    <xf numFmtId="0" fontId="68" fillId="0" borderId="0" xfId="110" applyFont="1" applyFill="1" applyBorder="1" applyAlignment="1">
      <alignment horizontal="center" vertical="center"/>
    </xf>
    <xf numFmtId="166" fontId="70" fillId="46" borderId="0" xfId="79" applyFont="1" applyFill="1" applyBorder="1" applyAlignment="1">
      <alignment horizontal="center" vertical="center"/>
    </xf>
    <xf numFmtId="0" fontId="86" fillId="0" borderId="0" xfId="0" applyFont="1" applyFill="1" applyAlignment="1">
      <alignment horizontal="right" vertical="center"/>
    </xf>
    <xf numFmtId="0" fontId="73" fillId="0" borderId="0" xfId="92" applyFont="1" applyFill="1"/>
    <xf numFmtId="0" fontId="70" fillId="0" borderId="0" xfId="92" applyFont="1" applyFill="1" applyAlignment="1">
      <alignment horizontal="center" vertical="center"/>
    </xf>
    <xf numFmtId="166" fontId="66" fillId="46" borderId="0" xfId="79" applyFont="1" applyFill="1" applyBorder="1" applyAlignment="1">
      <alignment horizontal="center" vertical="center"/>
    </xf>
    <xf numFmtId="0" fontId="72" fillId="0" borderId="0" xfId="92" applyFont="1" applyFill="1" applyAlignment="1">
      <alignment horizontal="right"/>
    </xf>
    <xf numFmtId="0" fontId="68" fillId="0" borderId="13" xfId="110" applyFont="1" applyFill="1" applyBorder="1" applyAlignment="1">
      <alignment vertical="center"/>
    </xf>
    <xf numFmtId="0" fontId="68" fillId="51" borderId="11" xfId="110" applyFont="1" applyFill="1" applyBorder="1" applyAlignment="1">
      <alignment vertical="center"/>
    </xf>
    <xf numFmtId="0" fontId="68" fillId="51" borderId="12" xfId="110" applyFont="1" applyFill="1" applyBorder="1" applyAlignment="1">
      <alignment vertical="center" wrapText="1"/>
    </xf>
    <xf numFmtId="0" fontId="68" fillId="51" borderId="12" xfId="110" applyFont="1" applyFill="1" applyBorder="1" applyAlignment="1">
      <alignment vertical="center"/>
    </xf>
    <xf numFmtId="166" fontId="68" fillId="51" borderId="12" xfId="79" applyFont="1" applyFill="1" applyBorder="1" applyAlignment="1">
      <alignment vertical="center"/>
    </xf>
    <xf numFmtId="166" fontId="68" fillId="51" borderId="11" xfId="79" quotePrefix="1" applyFont="1" applyFill="1" applyBorder="1" applyAlignment="1">
      <alignment vertical="center"/>
    </xf>
    <xf numFmtId="166" fontId="68" fillId="51" borderId="14" xfId="79" quotePrefix="1" applyFont="1" applyFill="1" applyBorder="1" applyAlignment="1">
      <alignment vertical="center"/>
    </xf>
    <xf numFmtId="0" fontId="69" fillId="51" borderId="13" xfId="160" applyNumberFormat="1" applyFont="1" applyFill="1" applyBorder="1" applyAlignment="1">
      <alignment horizontal="right" vertical="center"/>
    </xf>
    <xf numFmtId="166" fontId="68" fillId="51" borderId="11" xfId="79" applyFont="1" applyFill="1" applyBorder="1" applyAlignment="1">
      <alignment vertical="center"/>
    </xf>
    <xf numFmtId="0" fontId="69" fillId="51" borderId="14" xfId="160" applyNumberFormat="1" applyFont="1" applyFill="1" applyBorder="1" applyAlignment="1">
      <alignment horizontal="right" vertical="center"/>
    </xf>
    <xf numFmtId="9" fontId="32" fillId="51" borderId="14" xfId="113" applyFont="1" applyFill="1" applyBorder="1" applyAlignment="1">
      <alignment horizontal="center" vertical="center"/>
    </xf>
    <xf numFmtId="3" fontId="32" fillId="51" borderId="14" xfId="0" applyNumberFormat="1" applyFont="1" applyFill="1" applyBorder="1" applyAlignment="1">
      <alignment horizontal="center" vertical="center"/>
    </xf>
    <xf numFmtId="0" fontId="70" fillId="51" borderId="36" xfId="92" applyFont="1" applyFill="1" applyBorder="1" applyAlignment="1">
      <alignment horizontal="center"/>
    </xf>
    <xf numFmtId="0" fontId="70" fillId="51" borderId="0" xfId="92" applyFont="1" applyFill="1" applyAlignment="1">
      <alignment horizontal="center"/>
    </xf>
    <xf numFmtId="0" fontId="70" fillId="51" borderId="37" xfId="92" applyFont="1" applyFill="1" applyBorder="1" applyAlignment="1">
      <alignment horizontal="center"/>
    </xf>
    <xf numFmtId="0" fontId="70" fillId="51" borderId="38" xfId="92" applyFont="1" applyFill="1" applyBorder="1" applyAlignment="1">
      <alignment horizontal="center"/>
    </xf>
    <xf numFmtId="0" fontId="70" fillId="51" borderId="19" xfId="92" applyFont="1" applyFill="1" applyBorder="1" applyAlignment="1">
      <alignment vertical="center"/>
    </xf>
    <xf numFmtId="0" fontId="70" fillId="51" borderId="0" xfId="92" applyFont="1" applyFill="1" applyAlignment="1"/>
    <xf numFmtId="166" fontId="81" fillId="46" borderId="0" xfId="79" applyFont="1" applyFill="1" applyBorder="1" applyAlignment="1">
      <alignment horizontal="center" vertical="center"/>
    </xf>
    <xf numFmtId="0" fontId="78" fillId="0" borderId="0" xfId="92" applyFont="1" applyFill="1"/>
    <xf numFmtId="0" fontId="75" fillId="0" borderId="0" xfId="110" applyNumberFormat="1" applyFont="1" applyFill="1" applyBorder="1" applyAlignment="1">
      <alignment horizontal="left" vertical="center"/>
    </xf>
    <xf numFmtId="0" fontId="81" fillId="0" borderId="0" xfId="167" applyFont="1" applyAlignment="1">
      <alignment vertical="center"/>
    </xf>
    <xf numFmtId="0" fontId="81" fillId="0" borderId="0" xfId="167" applyFont="1" applyAlignment="1">
      <alignment horizontal="right" vertical="center"/>
    </xf>
    <xf numFmtId="166" fontId="81" fillId="46" borderId="0" xfId="79" applyFont="1" applyFill="1" applyBorder="1" applyAlignment="1">
      <alignment horizontal="center" vertical="center"/>
    </xf>
    <xf numFmtId="0" fontId="74" fillId="0" borderId="0" xfId="160" applyNumberFormat="1" applyFont="1" applyFill="1" applyBorder="1" applyAlignment="1">
      <alignment horizontal="left" vertical="center"/>
    </xf>
    <xf numFmtId="0" fontId="68" fillId="51" borderId="21" xfId="110" applyFont="1" applyFill="1" applyBorder="1" applyAlignment="1">
      <alignment horizontal="center" vertical="center" wrapText="1"/>
    </xf>
    <xf numFmtId="0" fontId="68" fillId="51" borderId="19" xfId="110" applyFont="1" applyFill="1" applyBorder="1" applyAlignment="1">
      <alignment horizontal="center" vertical="center" wrapText="1"/>
    </xf>
    <xf numFmtId="17" fontId="68" fillId="51" borderId="14" xfId="160" applyNumberFormat="1" applyFont="1" applyFill="1" applyBorder="1" applyAlignment="1">
      <alignment horizontal="center" vertical="center" wrapText="1"/>
    </xf>
    <xf numFmtId="0" fontId="68" fillId="51" borderId="14" xfId="160" applyNumberFormat="1" applyFont="1" applyFill="1" applyBorder="1" applyAlignment="1">
      <alignment horizontal="center" vertical="center" wrapText="1"/>
    </xf>
    <xf numFmtId="0" fontId="64" fillId="0" borderId="0" xfId="94" applyFont="1" applyFill="1" applyBorder="1" applyAlignment="1" applyProtection="1">
      <alignment horizontal="center"/>
    </xf>
    <xf numFmtId="165" fontId="68" fillId="51" borderId="14" xfId="110" applyNumberFormat="1" applyFont="1" applyFill="1" applyBorder="1" applyAlignment="1">
      <alignment horizontal="center" vertical="center"/>
    </xf>
    <xf numFmtId="165" fontId="68" fillId="51" borderId="21" xfId="110" applyNumberFormat="1" applyFont="1" applyFill="1" applyBorder="1" applyAlignment="1">
      <alignment horizontal="center" vertical="center"/>
    </xf>
    <xf numFmtId="0" fontId="68" fillId="51" borderId="21" xfId="110" applyFont="1" applyFill="1" applyBorder="1" applyAlignment="1">
      <alignment horizontal="left" vertical="center" wrapText="1"/>
    </xf>
    <xf numFmtId="0" fontId="68" fillId="51" borderId="19" xfId="110" applyFont="1" applyFill="1" applyBorder="1" applyAlignment="1">
      <alignment horizontal="left" vertical="center" wrapText="1"/>
    </xf>
    <xf numFmtId="0" fontId="68" fillId="51" borderId="14" xfId="110" applyFont="1" applyFill="1" applyBorder="1" applyAlignment="1">
      <alignment horizontal="center" vertical="center"/>
    </xf>
    <xf numFmtId="0" fontId="68" fillId="51" borderId="14" xfId="0" applyFont="1" applyFill="1" applyBorder="1" applyAlignment="1">
      <alignment horizontal="center" vertical="center"/>
    </xf>
    <xf numFmtId="0" fontId="68" fillId="51" borderId="22" xfId="110" applyFont="1" applyFill="1" applyBorder="1" applyAlignment="1">
      <alignment horizontal="center" vertical="center" wrapText="1"/>
    </xf>
    <xf numFmtId="0" fontId="71" fillId="0" borderId="0" xfId="0" applyFont="1" applyFill="1" applyAlignment="1">
      <alignment horizontal="right" vertical="center"/>
    </xf>
    <xf numFmtId="165" fontId="68" fillId="0" borderId="11" xfId="94" applyNumberFormat="1" applyFont="1" applyFill="1" applyBorder="1" applyAlignment="1">
      <alignment horizontal="left" vertical="center"/>
    </xf>
    <xf numFmtId="165" fontId="68" fillId="0" borderId="12" xfId="94" applyNumberFormat="1" applyFont="1" applyFill="1" applyBorder="1" applyAlignment="1">
      <alignment horizontal="left" vertical="center"/>
    </xf>
    <xf numFmtId="0" fontId="68" fillId="0" borderId="20" xfId="0" applyFont="1" applyFill="1" applyBorder="1" applyAlignment="1">
      <alignment horizontal="left" vertical="center" wrapText="1"/>
    </xf>
    <xf numFmtId="0" fontId="68" fillId="0" borderId="15" xfId="0" applyFont="1" applyFill="1" applyBorder="1" applyAlignment="1">
      <alignment horizontal="left" vertical="center" wrapText="1"/>
    </xf>
    <xf numFmtId="0" fontId="68" fillId="0" borderId="16" xfId="0" applyFont="1" applyFill="1" applyBorder="1" applyAlignment="1">
      <alignment horizontal="left" vertical="center" wrapText="1"/>
    </xf>
    <xf numFmtId="0" fontId="68" fillId="0" borderId="11" xfId="110" applyFont="1" applyFill="1" applyBorder="1" applyAlignment="1">
      <alignment horizontal="left" vertical="center"/>
    </xf>
    <xf numFmtId="0" fontId="68" fillId="0" borderId="12" xfId="110" applyFont="1" applyFill="1" applyBorder="1" applyAlignment="1">
      <alignment horizontal="left" vertical="center"/>
    </xf>
    <xf numFmtId="0" fontId="68" fillId="0" borderId="20" xfId="110" applyFont="1" applyFill="1" applyBorder="1" applyAlignment="1">
      <alignment horizontal="left" vertical="center"/>
    </xf>
    <xf numFmtId="0" fontId="68" fillId="0" borderId="15" xfId="110" applyFont="1" applyFill="1" applyBorder="1" applyAlignment="1">
      <alignment horizontal="left" vertical="center"/>
    </xf>
    <xf numFmtId="0" fontId="75" fillId="0" borderId="0" xfId="110" applyFont="1" applyFill="1" applyBorder="1" applyAlignment="1">
      <alignment horizontal="center" vertical="center"/>
    </xf>
    <xf numFmtId="10" fontId="68" fillId="0" borderId="11" xfId="0" applyNumberFormat="1" applyFont="1" applyFill="1" applyBorder="1" applyAlignment="1">
      <alignment horizontal="left" vertical="center" wrapText="1"/>
    </xf>
    <xf numFmtId="0" fontId="68" fillId="0" borderId="12" xfId="0" applyFont="1" applyFill="1" applyBorder="1" applyAlignment="1">
      <alignment horizontal="left" vertical="center" wrapText="1"/>
    </xf>
    <xf numFmtId="0" fontId="68" fillId="0" borderId="13" xfId="0" applyFont="1" applyFill="1" applyBorder="1" applyAlignment="1">
      <alignment horizontal="left" vertical="center" wrapText="1"/>
    </xf>
    <xf numFmtId="0" fontId="68" fillId="51" borderId="22" xfId="110" applyFont="1" applyFill="1" applyBorder="1" applyAlignment="1">
      <alignment horizontal="left" vertical="center" wrapText="1"/>
    </xf>
    <xf numFmtId="0" fontId="68" fillId="51" borderId="21" xfId="110" applyFont="1" applyFill="1" applyBorder="1" applyAlignment="1">
      <alignment horizontal="center" vertical="center"/>
    </xf>
    <xf numFmtId="0" fontId="68" fillId="51" borderId="21" xfId="0" applyFont="1" applyFill="1" applyBorder="1" applyAlignment="1">
      <alignment horizontal="center" vertical="center"/>
    </xf>
    <xf numFmtId="9" fontId="34" fillId="0" borderId="0" xfId="113" applyFont="1" applyFill="1" applyBorder="1" applyAlignment="1">
      <alignment horizontal="center" vertical="center"/>
    </xf>
    <xf numFmtId="166" fontId="70" fillId="46" borderId="0" xfId="79" applyFont="1" applyFill="1" applyBorder="1" applyAlignment="1">
      <alignment horizontal="center" vertical="center"/>
    </xf>
    <xf numFmtId="0" fontId="78" fillId="0" borderId="0" xfId="110" applyFont="1" applyFill="1" applyBorder="1" applyAlignment="1">
      <alignment horizontal="left" vertical="center"/>
    </xf>
    <xf numFmtId="9" fontId="32" fillId="51" borderId="11" xfId="113" applyFont="1" applyFill="1" applyBorder="1" applyAlignment="1">
      <alignment horizontal="center" vertical="center"/>
    </xf>
    <xf numFmtId="9" fontId="32" fillId="51" borderId="13" xfId="113" applyFont="1" applyFill="1" applyBorder="1" applyAlignment="1">
      <alignment horizontal="center" vertical="center"/>
    </xf>
    <xf numFmtId="0" fontId="32" fillId="51" borderId="11" xfId="0" applyFont="1" applyFill="1" applyBorder="1" applyAlignment="1">
      <alignment horizontal="center" vertical="center"/>
    </xf>
    <xf numFmtId="0" fontId="32" fillId="51" borderId="20" xfId="110" applyFont="1" applyFill="1" applyBorder="1" applyAlignment="1">
      <alignment horizontal="center" vertical="center" wrapText="1"/>
    </xf>
    <xf numFmtId="0" fontId="32" fillId="51" borderId="17" xfId="110" applyFont="1" applyFill="1" applyBorder="1" applyAlignment="1">
      <alignment horizontal="center" vertical="center" wrapText="1"/>
    </xf>
    <xf numFmtId="0" fontId="33" fillId="0" borderId="0" xfId="0" applyFont="1" applyFill="1" applyBorder="1" applyAlignment="1">
      <alignment horizontal="center" vertical="center"/>
    </xf>
    <xf numFmtId="0" fontId="32" fillId="51" borderId="14" xfId="0" applyFont="1" applyFill="1" applyBorder="1" applyAlignment="1">
      <alignment horizontal="center" vertical="center"/>
    </xf>
    <xf numFmtId="166" fontId="32" fillId="0" borderId="21" xfId="79" applyFont="1" applyFill="1" applyBorder="1" applyAlignment="1">
      <alignment horizontal="center" vertical="center"/>
    </xf>
    <xf numFmtId="166" fontId="32" fillId="0" borderId="19" xfId="79" applyFont="1" applyFill="1" applyBorder="1" applyAlignment="1">
      <alignment horizontal="center" vertical="center"/>
    </xf>
    <xf numFmtId="171" fontId="32" fillId="0" borderId="21" xfId="113" applyNumberFormat="1" applyFont="1" applyFill="1" applyBorder="1" applyAlignment="1">
      <alignment horizontal="center" vertical="center"/>
    </xf>
    <xf numFmtId="171" fontId="32" fillId="0" borderId="19" xfId="113" applyNumberFormat="1" applyFont="1" applyFill="1" applyBorder="1" applyAlignment="1">
      <alignment horizontal="center" vertical="center"/>
    </xf>
    <xf numFmtId="0" fontId="63" fillId="0" borderId="0" xfId="92" applyFont="1" applyFill="1" applyAlignment="1">
      <alignment horizontal="center"/>
    </xf>
    <xf numFmtId="0" fontId="80" fillId="0" borderId="0" xfId="92" applyFont="1" applyFill="1" applyAlignment="1">
      <alignment horizontal="center"/>
    </xf>
    <xf numFmtId="0" fontId="79" fillId="0" borderId="0" xfId="92" applyFont="1" applyFill="1" applyAlignment="1">
      <alignment horizontal="center"/>
    </xf>
    <xf numFmtId="0" fontId="78" fillId="0" borderId="0" xfId="92" applyFont="1" applyFill="1" applyAlignment="1">
      <alignment horizontal="center" vertical="center"/>
    </xf>
    <xf numFmtId="165" fontId="36" fillId="0" borderId="0" xfId="0" applyNumberFormat="1" applyFont="1" applyFill="1" applyAlignment="1">
      <alignment horizontal="center" vertical="center"/>
    </xf>
    <xf numFmtId="0" fontId="70" fillId="51" borderId="39" xfId="92" applyFont="1" applyFill="1" applyBorder="1" applyAlignment="1">
      <alignment horizontal="center" vertical="center"/>
    </xf>
    <xf numFmtId="0" fontId="70" fillId="51" borderId="40" xfId="92" applyFont="1" applyFill="1" applyBorder="1" applyAlignment="1">
      <alignment horizontal="center" vertical="center"/>
    </xf>
    <xf numFmtId="0" fontId="70" fillId="51" borderId="33" xfId="92" applyFont="1" applyFill="1" applyBorder="1" applyAlignment="1">
      <alignment horizontal="center" vertical="center"/>
    </xf>
    <xf numFmtId="4" fontId="73" fillId="0" borderId="14" xfId="92" applyNumberFormat="1" applyFont="1" applyFill="1" applyBorder="1" applyAlignment="1">
      <alignment horizontal="center"/>
    </xf>
    <xf numFmtId="0" fontId="81" fillId="0" borderId="0" xfId="92" applyFont="1" applyFill="1" applyAlignment="1">
      <alignment horizontal="left"/>
    </xf>
    <xf numFmtId="0" fontId="70" fillId="0" borderId="0" xfId="92" applyFont="1" applyFill="1" applyAlignment="1">
      <alignment horizontal="left"/>
    </xf>
    <xf numFmtId="0" fontId="63" fillId="0" borderId="0" xfId="92" applyFont="1" applyFill="1" applyAlignment="1">
      <alignment horizontal="right" vertical="center"/>
    </xf>
    <xf numFmtId="0" fontId="70" fillId="0" borderId="21" xfId="92" applyFont="1" applyFill="1" applyBorder="1" applyAlignment="1">
      <alignment horizontal="center" vertical="center" wrapText="1"/>
    </xf>
    <xf numFmtId="0" fontId="70" fillId="0" borderId="22" xfId="92" applyFont="1" applyFill="1" applyBorder="1" applyAlignment="1">
      <alignment horizontal="center" vertical="center" wrapText="1"/>
    </xf>
    <xf numFmtId="0" fontId="70" fillId="0" borderId="19" xfId="92" applyFont="1" applyFill="1" applyBorder="1" applyAlignment="1">
      <alignment horizontal="center" vertical="center" wrapText="1"/>
    </xf>
    <xf numFmtId="0" fontId="83" fillId="48" borderId="0" xfId="167" applyFont="1" applyFill="1" applyAlignment="1">
      <alignment horizontal="center" vertical="center"/>
    </xf>
    <xf numFmtId="0" fontId="85" fillId="49" borderId="44" xfId="167" applyFont="1" applyFill="1" applyBorder="1" applyAlignment="1">
      <alignment horizontal="center" vertical="center"/>
    </xf>
    <xf numFmtId="0" fontId="66" fillId="0" borderId="44" xfId="167" applyFont="1" applyBorder="1" applyAlignment="1">
      <alignment horizontal="center" vertical="center"/>
    </xf>
    <xf numFmtId="0" fontId="83" fillId="48" borderId="44" xfId="167" applyFont="1" applyFill="1" applyBorder="1" applyAlignment="1">
      <alignment horizontal="center" vertical="center"/>
    </xf>
    <xf numFmtId="10" fontId="66" fillId="0" borderId="0" xfId="168" applyNumberFormat="1" applyFont="1" applyAlignment="1">
      <alignment horizontal="center" vertical="center"/>
    </xf>
    <xf numFmtId="0" fontId="83" fillId="49" borderId="44" xfId="167" applyFont="1" applyFill="1" applyBorder="1" applyAlignment="1">
      <alignment horizontal="center" vertical="center"/>
    </xf>
    <xf numFmtId="10" fontId="83" fillId="49" borderId="41" xfId="168" applyNumberFormat="1" applyFont="1" applyFill="1" applyBorder="1" applyAlignment="1">
      <alignment horizontal="center" vertical="center"/>
    </xf>
    <xf numFmtId="10" fontId="83" fillId="49" borderId="43" xfId="168" applyNumberFormat="1" applyFont="1" applyFill="1" applyBorder="1" applyAlignment="1">
      <alignment horizontal="center" vertical="center"/>
    </xf>
    <xf numFmtId="166" fontId="81" fillId="46" borderId="0" xfId="79" applyFont="1" applyFill="1" applyBorder="1" applyAlignment="1">
      <alignment horizontal="center" vertical="center"/>
    </xf>
    <xf numFmtId="0" fontId="81" fillId="0" borderId="0" xfId="167" applyFont="1" applyAlignment="1">
      <alignment horizontal="center" vertical="center"/>
    </xf>
    <xf numFmtId="0" fontId="81" fillId="0" borderId="0" xfId="110" applyFont="1" applyFill="1" applyBorder="1" applyAlignment="1">
      <alignment horizontal="center" vertical="center"/>
    </xf>
    <xf numFmtId="0" fontId="29" fillId="0" borderId="0" xfId="107" applyFont="1" applyFill="1" applyBorder="1" applyAlignment="1">
      <alignment horizontal="center"/>
    </xf>
    <xf numFmtId="0" fontId="29" fillId="47" borderId="0" xfId="109" applyFont="1" applyFill="1" applyBorder="1" applyAlignment="1" applyProtection="1">
      <alignment horizontal="center" vertical="center"/>
    </xf>
    <xf numFmtId="0" fontId="29" fillId="47" borderId="0" xfId="109" applyFont="1" applyFill="1" applyBorder="1" applyAlignment="1" applyProtection="1">
      <alignment horizontal="center" vertical="center" wrapText="1"/>
    </xf>
    <xf numFmtId="164" fontId="29" fillId="47" borderId="0" xfId="160" applyFont="1" applyFill="1" applyBorder="1" applyAlignment="1" applyProtection="1">
      <alignment horizontal="center" vertical="center" wrapText="1"/>
    </xf>
    <xf numFmtId="166" fontId="29" fillId="47" borderId="0" xfId="79" applyFont="1" applyFill="1" applyBorder="1" applyAlignment="1" applyProtection="1">
      <alignment horizontal="center" vertical="center"/>
    </xf>
    <xf numFmtId="0" fontId="30" fillId="0" borderId="0" xfId="0" applyFont="1" applyAlignment="1">
      <alignment horizontal="right"/>
    </xf>
    <xf numFmtId="0" fontId="28" fillId="0" borderId="15" xfId="0" applyFont="1" applyBorder="1" applyAlignment="1">
      <alignment horizontal="left" wrapText="1"/>
    </xf>
    <xf numFmtId="0" fontId="28" fillId="0" borderId="15" xfId="0" applyFont="1" applyBorder="1" applyAlignment="1">
      <alignment horizontal="left"/>
    </xf>
    <xf numFmtId="0" fontId="28" fillId="0" borderId="16" xfId="0" applyFont="1" applyBorder="1" applyAlignment="1">
      <alignment horizontal="left"/>
    </xf>
    <xf numFmtId="0" fontId="28" fillId="0" borderId="0" xfId="0" applyFont="1" applyAlignment="1">
      <alignment horizontal="left"/>
    </xf>
    <xf numFmtId="0" fontId="28" fillId="0" borderId="23" xfId="0" applyFont="1" applyBorder="1" applyAlignment="1">
      <alignment horizontal="left"/>
    </xf>
    <xf numFmtId="0" fontId="33" fillId="47" borderId="0" xfId="0" applyFont="1" applyFill="1" applyAlignment="1">
      <alignment horizontal="center"/>
    </xf>
  </cellXfs>
  <cellStyles count="173">
    <cellStyle name="20% - Ênfase1 2" xfId="1"/>
    <cellStyle name="20% - Ênfase2 2" xfId="2"/>
    <cellStyle name="20% - Ênfase3 2" xfId="3"/>
    <cellStyle name="20% - Ênfase4 2" xfId="4"/>
    <cellStyle name="20% - Ênfase5 2" xfId="5"/>
    <cellStyle name="20% - Ênfase6 2" xfId="6"/>
    <cellStyle name="40% - Ênfase1 2" xfId="7"/>
    <cellStyle name="40% - Ênfase2 2" xfId="8"/>
    <cellStyle name="40% - Ênfase3 2" xfId="9"/>
    <cellStyle name="40% - Ênfase4 2" xfId="10"/>
    <cellStyle name="40% - Ênfase5 2" xfId="11"/>
    <cellStyle name="40% - Ênfase6 2" xfId="12"/>
    <cellStyle name="60% - Ênfase1 2" xfId="13"/>
    <cellStyle name="60% - Ênfase2 2" xfId="14"/>
    <cellStyle name="60% - Ênfase3 2" xfId="15"/>
    <cellStyle name="60% - Ênfase4 2" xfId="16"/>
    <cellStyle name="60% - Ênfase5 2" xfId="17"/>
    <cellStyle name="60% - Ênfase6 2" xfId="18"/>
    <cellStyle name="Bom 2" xfId="19"/>
    <cellStyle name="Cálculo 2" xfId="20"/>
    <cellStyle name="Célula de Verificação 2" xfId="21"/>
    <cellStyle name="Célula Vinculada 2" xfId="22"/>
    <cellStyle name="ConditionalStyle_1" xfId="23"/>
    <cellStyle name="Ênfase1 2" xfId="24"/>
    <cellStyle name="Ênfase2 2" xfId="25"/>
    <cellStyle name="Ênfase3 2" xfId="26"/>
    <cellStyle name="Ênfase4 2" xfId="27"/>
    <cellStyle name="Ênfase5 2" xfId="28"/>
    <cellStyle name="Ênfase6 2" xfId="29"/>
    <cellStyle name="Entrada 2" xfId="30"/>
    <cellStyle name="Excel Built-in 20% - Accent1" xfId="31"/>
    <cellStyle name="Excel Built-in 20% - Accent2" xfId="32"/>
    <cellStyle name="Excel Built-in 20% - Accent3" xfId="33"/>
    <cellStyle name="Excel Built-in 20% - Accent4" xfId="34"/>
    <cellStyle name="Excel Built-in 20% - Accent5" xfId="35"/>
    <cellStyle name="Excel Built-in 20% - Accent6" xfId="36"/>
    <cellStyle name="Excel Built-in 40% - Accent1" xfId="37"/>
    <cellStyle name="Excel Built-in 40% - Accent2" xfId="38"/>
    <cellStyle name="Excel Built-in 40% - Accent3" xfId="39"/>
    <cellStyle name="Excel Built-in 40% - Accent4" xfId="40"/>
    <cellStyle name="Excel Built-in 40% - Accent5" xfId="41"/>
    <cellStyle name="Excel Built-in 40% - Accent6" xfId="42"/>
    <cellStyle name="Excel Built-in 60% - Accent1" xfId="43"/>
    <cellStyle name="Excel Built-in 60% - Accent2" xfId="44"/>
    <cellStyle name="Excel Built-in 60% - Accent3" xfId="45"/>
    <cellStyle name="Excel Built-in 60% - Accent4" xfId="46"/>
    <cellStyle name="Excel Built-in 60% - Accent5" xfId="47"/>
    <cellStyle name="Excel Built-in 60% - Accent6" xfId="48"/>
    <cellStyle name="Excel Built-in Accent1" xfId="49"/>
    <cellStyle name="Excel Built-in Accent2" xfId="50"/>
    <cellStyle name="Excel Built-in Accent3" xfId="51"/>
    <cellStyle name="Excel Built-in Accent4" xfId="52"/>
    <cellStyle name="Excel Built-in Accent5" xfId="53"/>
    <cellStyle name="Excel Built-in Accent6" xfId="54"/>
    <cellStyle name="Excel Built-in Bad" xfId="55"/>
    <cellStyle name="Excel Built-in Calculation" xfId="56"/>
    <cellStyle name="Excel Built-in Check Cell" xfId="57"/>
    <cellStyle name="Excel Built-in Comma" xfId="58"/>
    <cellStyle name="Excel Built-in Currency" xfId="59"/>
    <cellStyle name="Excel Built-in Explanatory Text" xfId="60"/>
    <cellStyle name="Excel Built-in Good" xfId="61"/>
    <cellStyle name="Excel Built-in Heading 1" xfId="62"/>
    <cellStyle name="Excel Built-in Heading 2" xfId="63"/>
    <cellStyle name="Excel Built-in Heading 3" xfId="64"/>
    <cellStyle name="Excel Built-in Heading 4" xfId="65"/>
    <cellStyle name="Excel Built-in Input" xfId="66"/>
    <cellStyle name="Excel Built-in Linked Cell" xfId="67"/>
    <cellStyle name="Excel Built-in Neutral" xfId="68"/>
    <cellStyle name="Excel Built-in Note" xfId="69"/>
    <cellStyle name="Excel Built-in Output" xfId="70"/>
    <cellStyle name="Excel Built-in Percent" xfId="71"/>
    <cellStyle name="Excel Built-in Title" xfId="72"/>
    <cellStyle name="Excel Built-in Total" xfId="73"/>
    <cellStyle name="Excel Built-in Warning Text" xfId="74"/>
    <cellStyle name="Excel_BuiltIn_Comma" xfId="75"/>
    <cellStyle name="Heading" xfId="76"/>
    <cellStyle name="Heading1" xfId="77"/>
    <cellStyle name="Incorreto 2" xfId="78"/>
    <cellStyle name="Moeda" xfId="79" builtinId="4"/>
    <cellStyle name="Moeda 2" xfId="80"/>
    <cellStyle name="Moeda 2 2" xfId="81"/>
    <cellStyle name="Moeda 2 3" xfId="82"/>
    <cellStyle name="Moeda 3" xfId="83"/>
    <cellStyle name="Moeda 3 2" xfId="84"/>
    <cellStyle name="Moeda 4" xfId="85"/>
    <cellStyle name="Moeda 5" xfId="86"/>
    <cellStyle name="Moeda 5 2" xfId="87"/>
    <cellStyle name="Moeda 6" xfId="88"/>
    <cellStyle name="Neutra 2" xfId="89"/>
    <cellStyle name="Normal" xfId="0" builtinId="0"/>
    <cellStyle name="Normal 10" xfId="90"/>
    <cellStyle name="Normal 11" xfId="91"/>
    <cellStyle name="Normal 12" xfId="92"/>
    <cellStyle name="Normal 13" xfId="169"/>
    <cellStyle name="Normal 13 2" xfId="167"/>
    <cellStyle name="Normal 16" xfId="93"/>
    <cellStyle name="Normal 16 2" xfId="94"/>
    <cellStyle name="Normal 16_DAER -  Pontal" xfId="95"/>
    <cellStyle name="Normal 2" xfId="96"/>
    <cellStyle name="Normal 2 2" xfId="97"/>
    <cellStyle name="Normal 2_cronogramas físico financeiro e histograma 2" xfId="98"/>
    <cellStyle name="Normal 3" xfId="99"/>
    <cellStyle name="Normal 4" xfId="100"/>
    <cellStyle name="Normal 5" xfId="101"/>
    <cellStyle name="Normal 6" xfId="102"/>
    <cellStyle name="Normal 7" xfId="103"/>
    <cellStyle name="Normal 7 2" xfId="104"/>
    <cellStyle name="Normal 7 3" xfId="170"/>
    <cellStyle name="Normal 7_ORÇAMENTO" xfId="105"/>
    <cellStyle name="Normal 8" xfId="106"/>
    <cellStyle name="Normal 8 2" xfId="107"/>
    <cellStyle name="Normal 9" xfId="108"/>
    <cellStyle name="Normal_Demonstrativo da Composição do Custo Unitário" xfId="109"/>
    <cellStyle name="Normal_Planilha de Preços Unitários 2000-2001 2" xfId="110"/>
    <cellStyle name="Nota 2" xfId="111"/>
    <cellStyle name="planilhas" xfId="112"/>
    <cellStyle name="Porcentagem 10" xfId="171"/>
    <cellStyle name="Porcentagem 10 2" xfId="168"/>
    <cellStyle name="Porcentagem 2" xfId="113"/>
    <cellStyle name="Porcentagem 2 2" xfId="114"/>
    <cellStyle name="Porcentagem 2 3" xfId="115"/>
    <cellStyle name="Porcentagem 3" xfId="116"/>
    <cellStyle name="Porcentagem 3 2" xfId="117"/>
    <cellStyle name="Porcentagem 3 2 2" xfId="118"/>
    <cellStyle name="Porcentagem 4" xfId="119"/>
    <cellStyle name="Porcentagem 4 2" xfId="120"/>
    <cellStyle name="Porcentagem 4 3" xfId="121"/>
    <cellStyle name="Porcentagem 5" xfId="122"/>
    <cellStyle name="Porcentagem 5 2" xfId="123"/>
    <cellStyle name="Porcentagem 6" xfId="124"/>
    <cellStyle name="Porcentagem 6 2" xfId="125"/>
    <cellStyle name="Porcentagem 7" xfId="126"/>
    <cellStyle name="Porcentagem 8" xfId="127"/>
    <cellStyle name="Porcentagem 8 2" xfId="128"/>
    <cellStyle name="Porcentagem 9" xfId="129"/>
    <cellStyle name="Porcentagem 9 2" xfId="130"/>
    <cellStyle name="Result" xfId="131"/>
    <cellStyle name="Result2" xfId="132"/>
    <cellStyle name="Saída 2" xfId="133"/>
    <cellStyle name="Separador de milhares 2" xfId="134"/>
    <cellStyle name="Separador de milhares 2 2" xfId="135"/>
    <cellStyle name="Separador de milhares 2 3" xfId="136"/>
    <cellStyle name="Separador de milhares 2 4" xfId="137"/>
    <cellStyle name="Separador de milhares 2 4 2" xfId="138"/>
    <cellStyle name="Separador de milhares 3" xfId="139"/>
    <cellStyle name="Separador de milhares 3 2" xfId="140"/>
    <cellStyle name="Separador de milhares 3 2 2" xfId="141"/>
    <cellStyle name="Separador de milhares 4" xfId="142"/>
    <cellStyle name="Separador de milhares 4 2" xfId="143"/>
    <cellStyle name="Separador de milhares 4 2 2" xfId="144"/>
    <cellStyle name="Separador de milhares 4 2_ORÇAMENTO" xfId="145"/>
    <cellStyle name="Separador de milhares 4 3" xfId="146"/>
    <cellStyle name="Separador de milhares 5" xfId="147"/>
    <cellStyle name="Separador de milhares 5 2" xfId="148"/>
    <cellStyle name="Separador de milhares 6" xfId="149"/>
    <cellStyle name="Separador de milhares 6 2" xfId="150"/>
    <cellStyle name="Texto de Aviso 2" xfId="151"/>
    <cellStyle name="Texto Explicativo 2" xfId="152"/>
    <cellStyle name="Título 1 2" xfId="153"/>
    <cellStyle name="Título 2 2" xfId="154"/>
    <cellStyle name="Título 3 2" xfId="155"/>
    <cellStyle name="Título 4 2" xfId="156"/>
    <cellStyle name="Título 5" xfId="157"/>
    <cellStyle name="Total 2" xfId="158"/>
    <cellStyle name="Vírgula" xfId="159" builtinId="3"/>
    <cellStyle name="Vírgula 2" xfId="160"/>
    <cellStyle name="Vírgula 2 2" xfId="161"/>
    <cellStyle name="Vírgula 3" xfId="162"/>
    <cellStyle name="Vírgula 3 2" xfId="163"/>
    <cellStyle name="Vírgula 4" xfId="164"/>
    <cellStyle name="Vírgula 5" xfId="165"/>
    <cellStyle name="Vírgula 5 2" xfId="166"/>
    <cellStyle name="Vírgula 6" xfId="172"/>
  </cellStyles>
  <dxfs count="33">
    <dxf>
      <font>
        <b/>
        <i val="0"/>
        <condense val="0"/>
        <extend val="0"/>
      </font>
    </dxf>
    <dxf>
      <font>
        <b val="0"/>
        <i val="0"/>
        <condense val="0"/>
        <extend val="0"/>
        <color auto="1"/>
      </font>
    </dxf>
    <dxf>
      <font>
        <b/>
        <i val="0"/>
        <condense val="0"/>
        <extend val="0"/>
      </font>
    </dxf>
    <dxf>
      <font>
        <b val="0"/>
        <i val="0"/>
        <condense val="0"/>
        <extend val="0"/>
        <color auto="1"/>
      </font>
    </dxf>
    <dxf>
      <font>
        <b/>
        <i val="0"/>
        <condense val="0"/>
        <extend val="0"/>
      </font>
    </dxf>
    <dxf>
      <font>
        <b val="0"/>
        <i val="0"/>
        <condense val="0"/>
        <extend val="0"/>
        <color auto="1"/>
      </font>
    </dxf>
    <dxf>
      <font>
        <b/>
        <i val="0"/>
        <condense val="0"/>
        <extend val="0"/>
      </font>
    </dxf>
    <dxf>
      <font>
        <b val="0"/>
        <i val="0"/>
        <condense val="0"/>
        <extend val="0"/>
        <color auto="1"/>
      </font>
    </dxf>
    <dxf>
      <font>
        <b/>
        <i val="0"/>
        <condense val="0"/>
        <extend val="0"/>
      </font>
    </dxf>
    <dxf>
      <font>
        <b val="0"/>
        <i val="0"/>
        <condense val="0"/>
        <extend val="0"/>
        <color auto="1"/>
      </font>
    </dxf>
    <dxf>
      <font>
        <b/>
        <i val="0"/>
        <condense val="0"/>
        <extend val="0"/>
      </font>
    </dxf>
    <dxf>
      <font>
        <b val="0"/>
        <i val="0"/>
        <condense val="0"/>
        <extend val="0"/>
        <color auto="1"/>
      </font>
    </dxf>
    <dxf>
      <font>
        <b/>
        <i val="0"/>
        <condense val="0"/>
        <extend val="0"/>
      </font>
    </dxf>
    <dxf>
      <font>
        <b val="0"/>
        <i val="0"/>
        <condense val="0"/>
        <extend val="0"/>
        <color auto="1"/>
      </font>
    </dxf>
    <dxf>
      <font>
        <b/>
        <i val="0"/>
        <condense val="0"/>
        <extend val="0"/>
      </font>
    </dxf>
    <dxf>
      <font>
        <b val="0"/>
        <i val="0"/>
        <condense val="0"/>
        <extend val="0"/>
        <color auto="1"/>
      </font>
    </dxf>
    <dxf>
      <font>
        <b/>
        <i val="0"/>
        <condense val="0"/>
        <extend val="0"/>
      </font>
    </dxf>
    <dxf>
      <font>
        <b val="0"/>
        <i val="0"/>
        <condense val="0"/>
        <extend val="0"/>
        <color auto="1"/>
      </font>
    </dxf>
    <dxf>
      <font>
        <b/>
        <i val="0"/>
        <condense val="0"/>
        <extend val="0"/>
      </font>
    </dxf>
    <dxf>
      <font>
        <b val="0"/>
        <i val="0"/>
        <condense val="0"/>
        <extend val="0"/>
        <color auto="1"/>
      </font>
    </dxf>
    <dxf>
      <font>
        <b/>
        <i val="0"/>
        <condense val="0"/>
        <extend val="0"/>
      </font>
    </dxf>
    <dxf>
      <font>
        <b val="0"/>
        <i val="0"/>
        <condense val="0"/>
        <extend val="0"/>
        <color auto="1"/>
      </font>
    </dxf>
    <dxf>
      <font>
        <b/>
        <i val="0"/>
        <condense val="0"/>
        <extend val="0"/>
      </font>
    </dxf>
    <dxf>
      <font>
        <b val="0"/>
        <i val="0"/>
        <condense val="0"/>
        <extend val="0"/>
        <color auto="1"/>
      </font>
    </dxf>
    <dxf>
      <font>
        <b/>
        <i val="0"/>
        <condense val="0"/>
        <extend val="0"/>
      </font>
    </dxf>
    <dxf>
      <font>
        <b val="0"/>
        <i val="0"/>
        <condense val="0"/>
        <extend val="0"/>
        <color auto="1"/>
      </font>
    </dxf>
    <dxf>
      <font>
        <b/>
        <i val="0"/>
        <condense val="0"/>
        <extend val="0"/>
      </font>
    </dxf>
    <dxf>
      <font>
        <b val="0"/>
        <i val="0"/>
        <condense val="0"/>
        <extend val="0"/>
        <color auto="1"/>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8926284</xdr:colOff>
      <xdr:row>3</xdr:row>
      <xdr:rowOff>122465</xdr:rowOff>
    </xdr:from>
    <xdr:to>
      <xdr:col>3</xdr:col>
      <xdr:colOff>1204722</xdr:colOff>
      <xdr:row>8</xdr:row>
      <xdr:rowOff>258537</xdr:rowOff>
    </xdr:to>
    <xdr:pic>
      <xdr:nvPicPr>
        <xdr:cNvPr id="2" name="Imagem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756320" y="598715"/>
          <a:ext cx="2143616" cy="160564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750794</xdr:colOff>
      <xdr:row>1</xdr:row>
      <xdr:rowOff>78441</xdr:rowOff>
    </xdr:from>
    <xdr:to>
      <xdr:col>7</xdr:col>
      <xdr:colOff>704815</xdr:colOff>
      <xdr:row>6</xdr:row>
      <xdr:rowOff>179294</xdr:rowOff>
    </xdr:to>
    <xdr:pic>
      <xdr:nvPicPr>
        <xdr:cNvPr id="2" name="Imagem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339853" y="358588"/>
          <a:ext cx="2004697" cy="150158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1866900</xdr:colOff>
      <xdr:row>1</xdr:row>
      <xdr:rowOff>95250</xdr:rowOff>
    </xdr:from>
    <xdr:to>
      <xdr:col>2</xdr:col>
      <xdr:colOff>576311</xdr:colOff>
      <xdr:row>6</xdr:row>
      <xdr:rowOff>133350</xdr:rowOff>
    </xdr:to>
    <xdr:pic>
      <xdr:nvPicPr>
        <xdr:cNvPr id="2" name="Imagem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924175" y="276225"/>
          <a:ext cx="1271636" cy="952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3646714</xdr:colOff>
      <xdr:row>0</xdr:row>
      <xdr:rowOff>217714</xdr:rowOff>
    </xdr:from>
    <xdr:to>
      <xdr:col>2</xdr:col>
      <xdr:colOff>4918350</xdr:colOff>
      <xdr:row>4</xdr:row>
      <xdr:rowOff>81643</xdr:rowOff>
    </xdr:to>
    <xdr:pic>
      <xdr:nvPicPr>
        <xdr:cNvPr id="2" name="Imagem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503964" y="217714"/>
          <a:ext cx="1271636" cy="952500"/>
        </a:xfrm>
        <a:prstGeom prst="rect">
          <a:avLst/>
        </a:prstGeom>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3">
    <tabColor theme="0" tint="-0.14999847407452621"/>
    <pageSetUpPr fitToPage="1"/>
  </sheetPr>
  <dimension ref="A1:Z193"/>
  <sheetViews>
    <sheetView showGridLines="0" tabSelected="1" view="pageBreakPreview" topLeftCell="A184" zoomScale="60" zoomScaleNormal="50" workbookViewId="0">
      <selection activeCell="I3" sqref="I3"/>
    </sheetView>
  </sheetViews>
  <sheetFormatPr defaultRowHeight="21.95" customHeight="1"/>
  <cols>
    <col min="1" max="1" width="12.42578125" style="46" customWidth="1"/>
    <col min="2" max="2" width="134.85546875" style="52" customWidth="1"/>
    <col min="3" max="3" width="13.140625" style="32" customWidth="1"/>
    <col min="4" max="7" width="20.140625" style="32" customWidth="1"/>
    <col min="8" max="8" width="22.140625" style="32" customWidth="1"/>
    <col min="9" max="9" width="20.140625" style="32" customWidth="1"/>
    <col min="10" max="10" width="23.28515625" style="32" customWidth="1"/>
    <col min="11" max="11" width="24.7109375" style="53" customWidth="1"/>
    <col min="12" max="12" width="18.7109375" style="33" customWidth="1"/>
    <col min="13" max="13" width="8.42578125" style="33" bestFit="1" customWidth="1"/>
    <col min="14" max="14" width="12.85546875" style="33" bestFit="1" customWidth="1"/>
    <col min="15" max="15" width="10.140625" style="32" customWidth="1"/>
    <col min="16" max="16" width="11.7109375" style="34" customWidth="1"/>
    <col min="17" max="17" width="16.7109375" style="32" customWidth="1"/>
    <col min="18" max="18" width="18.7109375" style="55" customWidth="1"/>
    <col min="19" max="19" width="16" style="32" customWidth="1"/>
    <col min="20" max="21" width="15.42578125" style="35" customWidth="1"/>
    <col min="22" max="24" width="9.140625" style="32" customWidth="1"/>
    <col min="25" max="26" width="19.5703125" style="44" customWidth="1"/>
    <col min="27" max="53" width="9.140625" style="32" customWidth="1"/>
    <col min="54" max="16384" width="9.140625" style="32"/>
  </cols>
  <sheetData>
    <row r="1" spans="1:21" ht="14.25" customHeight="1"/>
    <row r="2" spans="1:21" ht="17.25" customHeight="1">
      <c r="A2" s="121"/>
      <c r="B2" s="268"/>
      <c r="C2" s="120"/>
      <c r="D2" s="120"/>
      <c r="E2" s="120"/>
      <c r="F2" s="120"/>
      <c r="G2" s="120"/>
      <c r="H2" s="120"/>
      <c r="I2" s="378" t="s">
        <v>422</v>
      </c>
      <c r="J2" s="378"/>
      <c r="K2" s="378"/>
    </row>
    <row r="3" spans="1:21" ht="6.75" customHeight="1">
      <c r="A3" s="121"/>
      <c r="B3" s="268"/>
      <c r="C3" s="120"/>
      <c r="D3" s="120"/>
      <c r="E3" s="120"/>
      <c r="F3" s="120"/>
      <c r="G3" s="120"/>
      <c r="H3" s="120"/>
      <c r="I3" s="120"/>
      <c r="J3" s="120"/>
      <c r="K3" s="269"/>
    </row>
    <row r="4" spans="1:21" ht="21.95" customHeight="1">
      <c r="A4" s="270"/>
      <c r="B4" s="271"/>
      <c r="C4" s="272"/>
      <c r="D4" s="272"/>
      <c r="E4" s="272"/>
      <c r="F4" s="272"/>
      <c r="G4" s="379" t="s">
        <v>47</v>
      </c>
      <c r="H4" s="380"/>
      <c r="I4" s="189" t="s">
        <v>336</v>
      </c>
      <c r="J4" s="190"/>
      <c r="K4" s="258"/>
    </row>
    <row r="5" spans="1:21" ht="21.95" customHeight="1">
      <c r="A5" s="270"/>
      <c r="B5" s="271"/>
      <c r="C5" s="272"/>
      <c r="D5" s="272"/>
      <c r="E5" s="272"/>
      <c r="F5" s="272"/>
      <c r="G5" s="379" t="s">
        <v>48</v>
      </c>
      <c r="H5" s="380"/>
      <c r="I5" s="189" t="s">
        <v>399</v>
      </c>
      <c r="J5" s="190"/>
      <c r="K5" s="258"/>
    </row>
    <row r="6" spans="1:21" ht="21.95" customHeight="1">
      <c r="A6" s="270"/>
      <c r="B6" s="271"/>
      <c r="C6" s="272"/>
      <c r="D6" s="272"/>
      <c r="E6" s="272"/>
      <c r="F6" s="272"/>
      <c r="G6" s="379" t="s">
        <v>20</v>
      </c>
      <c r="H6" s="380"/>
      <c r="I6" s="224">
        <f>D20</f>
        <v>1376.5900000000001</v>
      </c>
      <c r="J6" s="190" t="s">
        <v>2</v>
      </c>
      <c r="K6" s="258"/>
    </row>
    <row r="7" spans="1:21" ht="21.75" customHeight="1">
      <c r="A7" s="313" t="s">
        <v>334</v>
      </c>
      <c r="C7" s="272"/>
      <c r="D7" s="273"/>
      <c r="E7" s="272"/>
      <c r="F7" s="272"/>
      <c r="G7" s="384" t="s">
        <v>0</v>
      </c>
      <c r="H7" s="385"/>
      <c r="I7" s="189" t="s">
        <v>46</v>
      </c>
      <c r="J7" s="190"/>
      <c r="K7" s="258"/>
    </row>
    <row r="8" spans="1:21" ht="30" customHeight="1">
      <c r="A8" s="314" t="s">
        <v>399</v>
      </c>
      <c r="C8" s="272"/>
      <c r="D8" s="272"/>
      <c r="E8" s="272"/>
      <c r="F8" s="272"/>
      <c r="G8" s="386" t="s">
        <v>49</v>
      </c>
      <c r="H8" s="387"/>
      <c r="I8" s="381" t="s">
        <v>162</v>
      </c>
      <c r="J8" s="382"/>
      <c r="K8" s="383"/>
    </row>
    <row r="9" spans="1:21" ht="21.75" customHeight="1">
      <c r="A9" s="102"/>
      <c r="B9" s="221"/>
      <c r="C9" s="272"/>
      <c r="D9" s="272"/>
      <c r="E9" s="272"/>
      <c r="F9" s="272"/>
      <c r="G9" s="384" t="s">
        <v>213</v>
      </c>
      <c r="H9" s="385"/>
      <c r="I9" s="389">
        <v>0.24229999999999999</v>
      </c>
      <c r="J9" s="390"/>
      <c r="K9" s="391"/>
    </row>
    <row r="10" spans="1:21" ht="21.75" customHeight="1">
      <c r="A10" s="102"/>
      <c r="B10" s="221"/>
      <c r="C10" s="272"/>
      <c r="D10" s="272"/>
      <c r="E10" s="272"/>
      <c r="F10" s="272"/>
      <c r="G10" s="191" t="s">
        <v>302</v>
      </c>
      <c r="H10" s="193"/>
      <c r="I10" s="193"/>
      <c r="J10" s="193"/>
      <c r="K10" s="192"/>
    </row>
    <row r="11" spans="1:21" ht="21.75" customHeight="1">
      <c r="A11" s="102"/>
      <c r="B11" s="221"/>
      <c r="C11" s="272"/>
      <c r="D11" s="272"/>
      <c r="E11" s="272"/>
      <c r="F11" s="272"/>
      <c r="G11" s="365"/>
      <c r="H11" s="365"/>
      <c r="I11" s="365"/>
      <c r="J11" s="365"/>
      <c r="K11" s="365"/>
    </row>
    <row r="12" spans="1:21" ht="21.75" customHeight="1">
      <c r="A12" s="102"/>
      <c r="B12" s="221"/>
      <c r="C12" s="272"/>
      <c r="D12" s="272"/>
      <c r="E12" s="272"/>
      <c r="F12" s="272"/>
      <c r="G12" s="365"/>
      <c r="H12" s="365"/>
      <c r="I12" s="365"/>
      <c r="J12" s="365"/>
      <c r="K12" s="365"/>
    </row>
    <row r="13" spans="1:21" ht="21.95" customHeight="1">
      <c r="A13" s="388" t="s">
        <v>416</v>
      </c>
      <c r="B13" s="388"/>
      <c r="C13" s="388"/>
      <c r="D13" s="388"/>
      <c r="E13" s="388"/>
      <c r="F13" s="388"/>
      <c r="G13" s="388"/>
      <c r="H13" s="388"/>
      <c r="I13" s="388"/>
      <c r="J13" s="388"/>
      <c r="K13" s="388"/>
    </row>
    <row r="14" spans="1:21" ht="6" customHeight="1">
      <c r="A14" s="50"/>
      <c r="B14" s="50"/>
      <c r="C14" s="50"/>
      <c r="D14" s="50"/>
      <c r="E14" s="50"/>
      <c r="F14" s="50"/>
      <c r="G14" s="50"/>
      <c r="H14" s="50"/>
      <c r="I14" s="50"/>
      <c r="J14" s="50"/>
      <c r="K14" s="50"/>
    </row>
    <row r="15" spans="1:21" ht="21.95" customHeight="1">
      <c r="A15" s="371" t="s">
        <v>6</v>
      </c>
      <c r="B15" s="373" t="s">
        <v>1</v>
      </c>
      <c r="C15" s="375" t="s">
        <v>22</v>
      </c>
      <c r="D15" s="376" t="s">
        <v>7</v>
      </c>
      <c r="E15" s="366" t="s">
        <v>86</v>
      </c>
      <c r="F15" s="366" t="s">
        <v>84</v>
      </c>
      <c r="G15" s="366" t="s">
        <v>23</v>
      </c>
      <c r="H15" s="366" t="s">
        <v>86</v>
      </c>
      <c r="I15" s="366" t="s">
        <v>84</v>
      </c>
      <c r="J15" s="366" t="s">
        <v>19</v>
      </c>
      <c r="K15" s="368" t="s">
        <v>342</v>
      </c>
      <c r="T15" s="35" t="s">
        <v>144</v>
      </c>
      <c r="U15" s="35" t="s">
        <v>145</v>
      </c>
    </row>
    <row r="16" spans="1:21" ht="21.95" customHeight="1">
      <c r="A16" s="372"/>
      <c r="B16" s="392"/>
      <c r="C16" s="393"/>
      <c r="D16" s="394"/>
      <c r="E16" s="367"/>
      <c r="F16" s="367"/>
      <c r="G16" s="367"/>
      <c r="H16" s="367"/>
      <c r="I16" s="367"/>
      <c r="J16" s="367"/>
      <c r="K16" s="369"/>
      <c r="L16" s="282" t="s">
        <v>338</v>
      </c>
      <c r="M16" s="282" t="s">
        <v>339</v>
      </c>
      <c r="N16" s="282" t="s">
        <v>340</v>
      </c>
    </row>
    <row r="17" spans="1:21" ht="6" customHeight="1">
      <c r="A17" s="36"/>
      <c r="B17" s="37"/>
      <c r="C17" s="38"/>
      <c r="D17" s="69"/>
      <c r="E17" s="68"/>
      <c r="F17" s="68"/>
      <c r="G17" s="68"/>
      <c r="H17" s="68"/>
      <c r="I17" s="68"/>
      <c r="J17" s="70"/>
      <c r="K17" s="39"/>
    </row>
    <row r="18" spans="1:21" ht="21.95" customHeight="1">
      <c r="A18" s="72">
        <v>1</v>
      </c>
      <c r="B18" s="73" t="s">
        <v>24</v>
      </c>
      <c r="C18" s="80"/>
      <c r="D18" s="81"/>
      <c r="E18" s="82"/>
      <c r="F18" s="82"/>
      <c r="G18" s="82"/>
      <c r="H18" s="82"/>
      <c r="I18" s="82"/>
      <c r="J18" s="83"/>
      <c r="K18" s="255"/>
      <c r="L18" s="40">
        <v>1.2423</v>
      </c>
      <c r="M18" s="40"/>
      <c r="N18" s="40">
        <v>1.2423</v>
      </c>
    </row>
    <row r="19" spans="1:21" ht="21.95" customHeight="1">
      <c r="A19" s="74" t="s">
        <v>8</v>
      </c>
      <c r="B19" s="75" t="s">
        <v>214</v>
      </c>
      <c r="C19" s="84" t="s">
        <v>5</v>
      </c>
      <c r="D19" s="86">
        <f>SUMIF($A$69:$A$194,A19,$D$69:$D$194)</f>
        <v>1</v>
      </c>
      <c r="E19" s="85">
        <f>G19-F19</f>
        <v>2327.1999999999998</v>
      </c>
      <c r="F19" s="85">
        <f>TRUNC(G19*U19,2)</f>
        <v>581.79999999999995</v>
      </c>
      <c r="G19" s="85">
        <v>2909</v>
      </c>
      <c r="H19" s="88">
        <f ca="1">SUMIF($A$69:$A$191,A19,$H$69:$H$190)</f>
        <v>2327.1999999999998</v>
      </c>
      <c r="I19" s="88">
        <f ca="1">SUMIF($A$69:$A$191,A19,$I$69:$I$190)</f>
        <v>581.79999999999995</v>
      </c>
      <c r="J19" s="87">
        <f ca="1">SUMIF($A$69:$A$191,A19,$J$69:$J$190)</f>
        <v>2909</v>
      </c>
      <c r="K19" s="256" t="s">
        <v>225</v>
      </c>
      <c r="L19" s="242">
        <v>2019.18</v>
      </c>
      <c r="M19" s="242"/>
      <c r="N19" s="242">
        <f>CPU!H12</f>
        <v>2235.7000000000003</v>
      </c>
      <c r="S19" s="41"/>
      <c r="U19" s="35">
        <v>0.2</v>
      </c>
    </row>
    <row r="20" spans="1:21" ht="21.95" customHeight="1">
      <c r="A20" s="74" t="s">
        <v>9</v>
      </c>
      <c r="B20" s="75" t="s">
        <v>25</v>
      </c>
      <c r="C20" s="84" t="s">
        <v>2</v>
      </c>
      <c r="D20" s="86">
        <f>SUMIF($A$69:$A$194,A20,$D$69:$D$194)</f>
        <v>1376.5900000000001</v>
      </c>
      <c r="E20" s="87">
        <f>G20-F20</f>
        <v>0.15000000000000002</v>
      </c>
      <c r="F20" s="87">
        <f>TRUNC(G20*U20,2)</f>
        <v>0.6</v>
      </c>
      <c r="G20" s="85">
        <v>0.75</v>
      </c>
      <c r="H20" s="88">
        <f ca="1">SUMIF($A$69:$A$191,A20,$H$69:$H$190)</f>
        <v>206.49000000000007</v>
      </c>
      <c r="I20" s="88">
        <f ca="1">SUMIF($A$69:$A$191,A20,$I$69:$I$190)</f>
        <v>825.95</v>
      </c>
      <c r="J20" s="87">
        <f ca="1">SUMIF($A$69:$A$191,A20,$J$69:$J$190)</f>
        <v>1032.44</v>
      </c>
      <c r="K20" s="256" t="s">
        <v>224</v>
      </c>
      <c r="L20" s="242">
        <v>0.53</v>
      </c>
      <c r="M20" s="242"/>
      <c r="N20" s="242">
        <f>CPU!H28</f>
        <v>0.53</v>
      </c>
      <c r="S20" s="41"/>
      <c r="U20" s="35">
        <v>0.8</v>
      </c>
    </row>
    <row r="21" spans="1:21" ht="21.95" customHeight="1">
      <c r="A21" s="74" t="s">
        <v>10</v>
      </c>
      <c r="B21" s="75" t="s">
        <v>161</v>
      </c>
      <c r="C21" s="84" t="s">
        <v>5</v>
      </c>
      <c r="D21" s="86">
        <f>SUMIF($A$69:$A$194,A21,$D$69:$D$194)</f>
        <v>1</v>
      </c>
      <c r="E21" s="87">
        <f>G21-F21</f>
        <v>2637.3999999999996</v>
      </c>
      <c r="F21" s="87">
        <f>TRUNC(G21*U21,2)</f>
        <v>659.34</v>
      </c>
      <c r="G21" s="85">
        <v>3296.74</v>
      </c>
      <c r="H21" s="88">
        <f ca="1">SUMIF($A$69:$A$191,A21,$H$69:$H$190)</f>
        <v>2637.3999999999996</v>
      </c>
      <c r="I21" s="88">
        <f ca="1">SUMIF($A$69:$A$191,A21,$I$69:$I$190)</f>
        <v>659.34</v>
      </c>
      <c r="J21" s="87">
        <f ca="1">SUMIF($A$69:$A$191,A21,$J$69:$J$190)</f>
        <v>3296.74</v>
      </c>
      <c r="K21" s="256" t="s">
        <v>308</v>
      </c>
      <c r="L21" s="242">
        <v>6984.42</v>
      </c>
      <c r="M21" s="242"/>
      <c r="N21" s="242">
        <f>'MOBILIZAÇÃO-CPU '!I47</f>
        <v>8381.3040000000001</v>
      </c>
      <c r="S21" s="41"/>
      <c r="U21" s="35">
        <v>0.2</v>
      </c>
    </row>
    <row r="22" spans="1:21" ht="21.95" customHeight="1">
      <c r="A22" s="74" t="s">
        <v>11</v>
      </c>
      <c r="B22" s="75" t="s">
        <v>163</v>
      </c>
      <c r="C22" s="84" t="s">
        <v>156</v>
      </c>
      <c r="D22" s="86" t="s">
        <v>418</v>
      </c>
      <c r="E22" s="87">
        <f>G22-F22</f>
        <v>2759.8999999999996</v>
      </c>
      <c r="F22" s="87">
        <f>TRUNC(G22*U22,2)</f>
        <v>11039.56</v>
      </c>
      <c r="G22" s="85">
        <v>13799.46</v>
      </c>
      <c r="H22" s="88">
        <f ca="1">SUMIF($A$69:$A$191,A22,$H$69:$H$190)</f>
        <v>5519.7999999999993</v>
      </c>
      <c r="I22" s="88">
        <f ca="1">SUMIF($A$69:$A$191,A22,$I$69:$I$190)</f>
        <v>22079.119999999999</v>
      </c>
      <c r="J22" s="87">
        <f ca="1">SUMIF($A$69:$A$191,A22,$J$69:$J$190)</f>
        <v>27598.92</v>
      </c>
      <c r="K22" s="256" t="s">
        <v>309</v>
      </c>
      <c r="L22" s="242">
        <v>8742.7200000000012</v>
      </c>
      <c r="M22" s="242"/>
      <c r="N22" s="242">
        <f>'ADM LOCAL-CPU'!J23</f>
        <v>8775.0400000000009</v>
      </c>
      <c r="S22" s="41"/>
      <c r="U22" s="35">
        <v>0.8</v>
      </c>
    </row>
    <row r="23" spans="1:21" ht="21.95" customHeight="1">
      <c r="A23" s="76" t="str">
        <f>CONCATENATE("TOTAL DO ITEM ",A18," - ",B18)</f>
        <v>TOTAL DO ITEM 1 - SERVIÇOS INICIAIS</v>
      </c>
      <c r="B23" s="77"/>
      <c r="C23" s="89"/>
      <c r="D23" s="89"/>
      <c r="E23" s="90"/>
      <c r="F23" s="90"/>
      <c r="G23" s="90"/>
      <c r="H23" s="91">
        <f ca="1">SUM(H19:H22)</f>
        <v>10690.89</v>
      </c>
      <c r="I23" s="91">
        <f ca="1">SUM(I19:I22)</f>
        <v>24146.21</v>
      </c>
      <c r="J23" s="92">
        <f ca="1">SUM(J19:J22)</f>
        <v>34837.1</v>
      </c>
      <c r="K23" s="257"/>
      <c r="S23" s="41"/>
      <c r="T23" s="42"/>
      <c r="U23" s="42"/>
    </row>
    <row r="24" spans="1:21" ht="21.95" customHeight="1">
      <c r="A24" s="78">
        <v>2</v>
      </c>
      <c r="B24" s="77" t="s">
        <v>149</v>
      </c>
      <c r="C24" s="93"/>
      <c r="D24" s="82"/>
      <c r="E24" s="90"/>
      <c r="F24" s="90"/>
      <c r="G24" s="90"/>
      <c r="H24" s="90"/>
      <c r="I24" s="90"/>
      <c r="J24" s="94"/>
      <c r="K24" s="258"/>
      <c r="S24" s="41"/>
    </row>
    <row r="25" spans="1:21" ht="30">
      <c r="A25" s="74" t="s">
        <v>13</v>
      </c>
      <c r="B25" s="75" t="s">
        <v>227</v>
      </c>
      <c r="C25" s="84" t="s">
        <v>3</v>
      </c>
      <c r="D25" s="86">
        <f>SUMIF($A$69:$A$194,A25,$D$69:$D$194)</f>
        <v>351.5</v>
      </c>
      <c r="E25" s="87">
        <f t="shared" ref="E25:E31" si="0">G25-F25</f>
        <v>11.85</v>
      </c>
      <c r="F25" s="87">
        <f t="shared" ref="F25:F31" si="1">TRUNC(G25*U25,2)</f>
        <v>2.25</v>
      </c>
      <c r="G25" s="85">
        <f>ROUND(N25*$N$18,2)</f>
        <v>14.1</v>
      </c>
      <c r="H25" s="88">
        <f ca="1">SUMIF($A$69:$A$191,A25,$H$69:$H$190)</f>
        <v>4165.2700000000004</v>
      </c>
      <c r="I25" s="88">
        <f ca="1">SUMIF($A$69:$A$191,A25,$I$69:$I$190)</f>
        <v>790.86999999999989</v>
      </c>
      <c r="J25" s="87">
        <f ca="1">SUMIF($A$69:$A$191,A25,$J$69:$J$190)</f>
        <v>4956.1399999999994</v>
      </c>
      <c r="K25" s="256">
        <v>101138</v>
      </c>
      <c r="L25" s="242">
        <v>10.87</v>
      </c>
      <c r="M25" s="242"/>
      <c r="N25" s="242">
        <v>11.35</v>
      </c>
      <c r="S25" s="41"/>
      <c r="U25" s="35">
        <v>0.16</v>
      </c>
    </row>
    <row r="26" spans="1:21" ht="29.25" customHeight="1">
      <c r="A26" s="74" t="s">
        <v>14</v>
      </c>
      <c r="B26" s="75" t="s">
        <v>421</v>
      </c>
      <c r="C26" s="84" t="s">
        <v>229</v>
      </c>
      <c r="D26" s="86">
        <f>SUMIF($A$69:$A$194,A26,$D$69:$D$194)</f>
        <v>439.38</v>
      </c>
      <c r="E26" s="87">
        <f t="shared" ref="E26:E28" si="2">G26-F26</f>
        <v>2</v>
      </c>
      <c r="F26" s="87">
        <f t="shared" si="1"/>
        <v>0.17</v>
      </c>
      <c r="G26" s="85">
        <v>2.17</v>
      </c>
      <c r="H26" s="88">
        <f ca="1">SUMIF($A$69:$A$191,A26,$H$69:$H$190)</f>
        <v>878.76</v>
      </c>
      <c r="I26" s="88">
        <f ca="1">SUMIF($A$69:$A$191,A26,$I$69:$I$190)</f>
        <v>74.69</v>
      </c>
      <c r="J26" s="87">
        <f ca="1">SUMIF($A$69:$A$191,A26,$J$69:$J$190)</f>
        <v>953.45</v>
      </c>
      <c r="K26" s="256">
        <v>93589</v>
      </c>
      <c r="L26" s="242">
        <v>1.74</v>
      </c>
      <c r="M26" s="242"/>
      <c r="N26" s="242">
        <v>1.9</v>
      </c>
      <c r="O26" s="51"/>
      <c r="P26" s="43">
        <v>13.3</v>
      </c>
      <c r="S26" s="41"/>
      <c r="U26" s="35">
        <v>0.08</v>
      </c>
    </row>
    <row r="27" spans="1:21" ht="21.95" customHeight="1">
      <c r="A27" s="74" t="s">
        <v>15</v>
      </c>
      <c r="B27" s="75" t="s">
        <v>370</v>
      </c>
      <c r="C27" s="84" t="s">
        <v>3</v>
      </c>
      <c r="D27" s="86">
        <f>SUMIF($A$69:$A$194,A27,$D$69:$D$194)</f>
        <v>50</v>
      </c>
      <c r="E27" s="87">
        <f t="shared" ref="E27" si="3">G27-F27</f>
        <v>10.86</v>
      </c>
      <c r="F27" s="87">
        <f t="shared" ref="F27" si="4">TRUNC(G27*U27,2)</f>
        <v>2.06</v>
      </c>
      <c r="G27" s="85">
        <f t="shared" ref="G27" si="5">ROUND(N27*$N$18,2)</f>
        <v>12.92</v>
      </c>
      <c r="H27" s="88">
        <f ca="1">SUMIF($A$69:$A$191,A27,$H$69:$H$190)</f>
        <v>543</v>
      </c>
      <c r="I27" s="88">
        <f ca="1">SUMIF($A$69:$A$191,A27,$I$69:$I$190)</f>
        <v>103</v>
      </c>
      <c r="J27" s="87">
        <f ca="1">SUMIF($A$69:$A$191,A27,$J$69:$J$190)</f>
        <v>646</v>
      </c>
      <c r="K27" s="256" t="s">
        <v>371</v>
      </c>
      <c r="L27" s="242"/>
      <c r="M27" s="242"/>
      <c r="N27" s="242">
        <v>10.4</v>
      </c>
      <c r="O27" s="51"/>
      <c r="P27" s="64"/>
      <c r="S27" s="41"/>
      <c r="U27" s="35">
        <v>0.16</v>
      </c>
    </row>
    <row r="28" spans="1:21" ht="21.95" customHeight="1">
      <c r="A28" s="74" t="s">
        <v>16</v>
      </c>
      <c r="B28" s="75" t="s">
        <v>348</v>
      </c>
      <c r="C28" s="84" t="s">
        <v>3</v>
      </c>
      <c r="D28" s="86">
        <f>SUMIF($A$69:$A$194,A28,$D$69:$D$194)</f>
        <v>50</v>
      </c>
      <c r="E28" s="87">
        <f t="shared" si="2"/>
        <v>19.23</v>
      </c>
      <c r="F28" s="87">
        <f t="shared" si="1"/>
        <v>3.66</v>
      </c>
      <c r="G28" s="85">
        <v>22.89</v>
      </c>
      <c r="H28" s="88">
        <f ca="1">SUMIF($A$69:$A$191,A28,$H$69:$H$190)</f>
        <v>961.50000000000011</v>
      </c>
      <c r="I28" s="88">
        <f ca="1">SUMIF($A$69:$A$191,A28,$I$69:$I$190)</f>
        <v>183</v>
      </c>
      <c r="J28" s="87">
        <f ca="1">SUMIF($A$69:$A$191,A28,$J$69:$J$190)</f>
        <v>1144.5</v>
      </c>
      <c r="K28" s="256">
        <v>6077</v>
      </c>
      <c r="L28" s="242"/>
      <c r="M28" s="242"/>
      <c r="N28" s="242">
        <v>16.760000000000002</v>
      </c>
      <c r="O28" s="51"/>
      <c r="P28" s="64"/>
      <c r="S28" s="41"/>
      <c r="U28" s="35">
        <v>0.16</v>
      </c>
    </row>
    <row r="29" spans="1:21" ht="29.25" customHeight="1">
      <c r="A29" s="74" t="s">
        <v>17</v>
      </c>
      <c r="B29" s="75" t="s">
        <v>412</v>
      </c>
      <c r="C29" s="84" t="s">
        <v>229</v>
      </c>
      <c r="D29" s="86">
        <f>SUMIF($A$69:$A$194,A29,$D$69:$D$194)</f>
        <v>962.5</v>
      </c>
      <c r="E29" s="87">
        <f t="shared" ref="E29:E30" si="6">G29-F29</f>
        <v>2</v>
      </c>
      <c r="F29" s="87">
        <f t="shared" si="1"/>
        <v>0.17</v>
      </c>
      <c r="G29" s="85">
        <v>2.17</v>
      </c>
      <c r="H29" s="88">
        <f ca="1">SUMIF($A$69:$A$191,A29,$H$69:$H$190)</f>
        <v>1925</v>
      </c>
      <c r="I29" s="88">
        <f ca="1">SUMIF($A$69:$A$191,A29,$I$69:$I$190)</f>
        <v>163.62</v>
      </c>
      <c r="J29" s="87">
        <f ca="1">SUMIF($A$69:$A$191,A29,$J$69:$J$190)</f>
        <v>2088.62</v>
      </c>
      <c r="K29" s="256">
        <v>93589</v>
      </c>
      <c r="L29" s="242">
        <v>1.74</v>
      </c>
      <c r="M29" s="242"/>
      <c r="N29" s="242">
        <v>1.9</v>
      </c>
      <c r="O29" s="51"/>
      <c r="P29" s="43">
        <v>15.4</v>
      </c>
      <c r="S29" s="41"/>
      <c r="U29" s="35">
        <v>0.08</v>
      </c>
    </row>
    <row r="30" spans="1:21" ht="30">
      <c r="A30" s="74" t="s">
        <v>18</v>
      </c>
      <c r="B30" s="75" t="s">
        <v>369</v>
      </c>
      <c r="C30" s="84" t="s">
        <v>3</v>
      </c>
      <c r="D30" s="86">
        <f>SUMIF($A$69:$A$194,A30,$D$69:$D$194)</f>
        <v>50</v>
      </c>
      <c r="E30" s="87">
        <f t="shared" si="6"/>
        <v>10.329999999999998</v>
      </c>
      <c r="F30" s="87">
        <f t="shared" ref="F30" si="7">TRUNC(G30*U30,2)</f>
        <v>1.96</v>
      </c>
      <c r="G30" s="85">
        <v>12.29</v>
      </c>
      <c r="H30" s="88">
        <f ca="1">SUMIF($A$69:$A$191,A30,$H$69:$H$190)</f>
        <v>516.5</v>
      </c>
      <c r="I30" s="88">
        <f ca="1">SUMIF($A$69:$A$191,A30,$I$69:$I$190)</f>
        <v>98</v>
      </c>
      <c r="J30" s="87">
        <f ca="1">SUMIF($A$69:$A$191,A30,$J$69:$J$190)</f>
        <v>614.5</v>
      </c>
      <c r="K30" s="256">
        <v>96385</v>
      </c>
      <c r="L30" s="242"/>
      <c r="M30" s="242"/>
      <c r="N30" s="242">
        <v>8.7799999999999994</v>
      </c>
      <c r="O30" s="51"/>
      <c r="P30" s="64"/>
      <c r="S30" s="41"/>
      <c r="U30" s="35">
        <v>0.16</v>
      </c>
    </row>
    <row r="31" spans="1:21" ht="21.95" customHeight="1">
      <c r="A31" s="74" t="s">
        <v>368</v>
      </c>
      <c r="B31" s="75" t="s">
        <v>228</v>
      </c>
      <c r="C31" s="84" t="s">
        <v>2</v>
      </c>
      <c r="D31" s="86">
        <f>SUMIF($A$69:$A$194,A31,$D$69:$D$194)</f>
        <v>1705.3899999999999</v>
      </c>
      <c r="E31" s="87">
        <f t="shared" si="0"/>
        <v>2.2200000000000002</v>
      </c>
      <c r="F31" s="87">
        <f t="shared" si="1"/>
        <v>0.42</v>
      </c>
      <c r="G31" s="85">
        <v>2.64</v>
      </c>
      <c r="H31" s="88">
        <f ca="1">SUMIF($A$69:$A$191,A31,$H$69:$H$190)</f>
        <v>3785.9700000000003</v>
      </c>
      <c r="I31" s="88">
        <f ca="1">SUMIF($A$69:$A$191,A31,$I$69:$I$190)</f>
        <v>716.25</v>
      </c>
      <c r="J31" s="87">
        <f ca="1">SUMIF($A$69:$A$191,A31,$J$69:$J$190)</f>
        <v>4502.22</v>
      </c>
      <c r="K31" s="256">
        <v>100576</v>
      </c>
      <c r="L31" s="242">
        <v>1.74</v>
      </c>
      <c r="M31" s="242"/>
      <c r="N31" s="242">
        <v>1.89</v>
      </c>
      <c r="O31" s="51"/>
      <c r="P31" s="64"/>
      <c r="S31" s="41"/>
      <c r="U31" s="35">
        <v>0.16</v>
      </c>
    </row>
    <row r="32" spans="1:21" ht="21.95" customHeight="1">
      <c r="A32" s="76" t="str">
        <f>CONCATENATE("TOTAL DO ITEM ",A24," - ",B24)</f>
        <v>TOTAL DO ITEM 2 - TERRAPLENAGEM</v>
      </c>
      <c r="B32" s="77"/>
      <c r="C32" s="96"/>
      <c r="D32" s="96"/>
      <c r="E32" s="97"/>
      <c r="F32" s="97"/>
      <c r="G32" s="97"/>
      <c r="H32" s="98">
        <f ca="1">SUM(H25:H31)</f>
        <v>12776</v>
      </c>
      <c r="I32" s="98">
        <f ca="1">SUM(I25:I31)</f>
        <v>2129.4299999999998</v>
      </c>
      <c r="J32" s="92">
        <f ca="1">SUM(J25:J31)</f>
        <v>14905.43</v>
      </c>
      <c r="K32" s="259"/>
      <c r="S32" s="41"/>
      <c r="T32" s="42"/>
      <c r="U32" s="42"/>
    </row>
    <row r="33" spans="1:21" ht="21.95" customHeight="1">
      <c r="A33" s="78">
        <v>3</v>
      </c>
      <c r="B33" s="77" t="s">
        <v>357</v>
      </c>
      <c r="C33" s="93"/>
      <c r="D33" s="82"/>
      <c r="E33" s="90"/>
      <c r="F33" s="90"/>
      <c r="G33" s="90"/>
      <c r="H33" s="90"/>
      <c r="I33" s="90"/>
      <c r="J33" s="312"/>
      <c r="K33" s="258"/>
      <c r="S33" s="41"/>
    </row>
    <row r="34" spans="1:21" ht="45">
      <c r="A34" s="74" t="s">
        <v>26</v>
      </c>
      <c r="B34" s="75" t="s">
        <v>365</v>
      </c>
      <c r="C34" s="84" t="s">
        <v>3</v>
      </c>
      <c r="D34" s="86">
        <f>SUMIF($A$69:$A$194,A34,$D$69:$D$194)</f>
        <v>61.440000000000005</v>
      </c>
      <c r="E34" s="87">
        <f t="shared" ref="E34:E40" si="8">G34-F34</f>
        <v>6.2</v>
      </c>
      <c r="F34" s="87">
        <f t="shared" ref="F34:F41" si="9">TRUNC(G34*U34,2)</f>
        <v>1.17</v>
      </c>
      <c r="G34" s="85">
        <f>ROUND(N34*$N$18,2)</f>
        <v>7.37</v>
      </c>
      <c r="H34" s="88">
        <f ca="1">SUMIF($A$69:$A$191,A34,$H$69:$H$190)</f>
        <v>380.93</v>
      </c>
      <c r="I34" s="88">
        <f ca="1">SUMIF($A$69:$A$191,A34,$I$69:$I$190)</f>
        <v>71.88</v>
      </c>
      <c r="J34" s="87">
        <f ca="1">SUMIF($A$69:$A$191,A34,$J$69:$J$190)</f>
        <v>452.81</v>
      </c>
      <c r="K34" s="256">
        <v>90106</v>
      </c>
      <c r="L34" s="242"/>
      <c r="M34" s="242"/>
      <c r="N34" s="242">
        <v>5.93</v>
      </c>
      <c r="S34" s="41"/>
      <c r="U34" s="35">
        <v>0.16</v>
      </c>
    </row>
    <row r="35" spans="1:21" ht="32.25" customHeight="1">
      <c r="A35" s="74" t="s">
        <v>27</v>
      </c>
      <c r="B35" s="75" t="s">
        <v>411</v>
      </c>
      <c r="C35" s="84" t="s">
        <v>229</v>
      </c>
      <c r="D35" s="86">
        <f>SUMIF($A$69:$A$194,A35,$D$69:$D$194)</f>
        <v>10.41</v>
      </c>
      <c r="E35" s="87">
        <f t="shared" ref="E35" si="10">G35-F35</f>
        <v>2</v>
      </c>
      <c r="F35" s="87">
        <f t="shared" si="9"/>
        <v>0.17</v>
      </c>
      <c r="G35" s="85">
        <v>2.17</v>
      </c>
      <c r="H35" s="88">
        <f ca="1">SUMIF($A$69:$A$191,A35,$H$69:$H$190)</f>
        <v>20.82</v>
      </c>
      <c r="I35" s="88">
        <f ca="1">SUMIF($A$69:$A$191,A35,$I$69:$I$190)</f>
        <v>1.7599999999999998</v>
      </c>
      <c r="J35" s="87">
        <f ca="1">SUMIF($A$69:$A$191,A35,$J$69:$J$190)</f>
        <v>22.58</v>
      </c>
      <c r="K35" s="256">
        <v>93589</v>
      </c>
      <c r="L35" s="242"/>
      <c r="M35" s="242"/>
      <c r="N35" s="242">
        <v>1.9</v>
      </c>
      <c r="O35" s="51"/>
      <c r="P35" s="43">
        <v>13.3</v>
      </c>
      <c r="S35" s="41"/>
      <c r="U35" s="35">
        <v>0.08</v>
      </c>
    </row>
    <row r="36" spans="1:21" ht="32.25" customHeight="1">
      <c r="A36" s="74" t="s">
        <v>28</v>
      </c>
      <c r="B36" s="75" t="s">
        <v>367</v>
      </c>
      <c r="C36" s="84" t="s">
        <v>3</v>
      </c>
      <c r="D36" s="86">
        <f>SUMIF($A$69:$A$194,A36,$D$69:$D$194)</f>
        <v>4.5999999999999996</v>
      </c>
      <c r="E36" s="87">
        <f t="shared" si="8"/>
        <v>103.81</v>
      </c>
      <c r="F36" s="87">
        <f t="shared" si="9"/>
        <v>19.77</v>
      </c>
      <c r="G36" s="85">
        <v>123.58</v>
      </c>
      <c r="H36" s="88">
        <f ca="1">SUMIF($A$69:$A$191,A36,$H$69:$H$190)</f>
        <v>477.52</v>
      </c>
      <c r="I36" s="88">
        <f ca="1">SUMIF($A$69:$A$191,A36,$I$69:$I$190)</f>
        <v>90.94</v>
      </c>
      <c r="J36" s="87">
        <f ca="1">SUMIF($A$69:$A$191,A36,$J$69:$J$190)</f>
        <v>568.46</v>
      </c>
      <c r="K36" s="256">
        <v>96624</v>
      </c>
      <c r="L36" s="242"/>
      <c r="M36" s="242"/>
      <c r="N36" s="242">
        <v>91.4</v>
      </c>
      <c r="O36" s="51"/>
      <c r="P36" s="64"/>
      <c r="S36" s="41"/>
      <c r="U36" s="35">
        <v>0.16</v>
      </c>
    </row>
    <row r="37" spans="1:21" ht="32.25" customHeight="1">
      <c r="A37" s="74" t="s">
        <v>29</v>
      </c>
      <c r="B37" s="75" t="s">
        <v>415</v>
      </c>
      <c r="C37" s="84" t="s">
        <v>229</v>
      </c>
      <c r="D37" s="86">
        <f>SUMIF($A$69:$A$194,A37,$D$69:$D$194)</f>
        <v>136.70999999999998</v>
      </c>
      <c r="E37" s="87">
        <f t="shared" si="8"/>
        <v>2</v>
      </c>
      <c r="F37" s="87">
        <f t="shared" si="9"/>
        <v>0.17</v>
      </c>
      <c r="G37" s="85">
        <f t="shared" ref="G37:G40" si="11">ROUND(N37*$N$18,2)</f>
        <v>2.17</v>
      </c>
      <c r="H37" s="88">
        <f ca="1">SUMIF($A$69:$A$191,A37,$H$69:$H$190)</f>
        <v>273.41999999999996</v>
      </c>
      <c r="I37" s="88">
        <f ca="1">SUMIF($A$69:$A$191,A37,$I$69:$I$190)</f>
        <v>23.23</v>
      </c>
      <c r="J37" s="87">
        <f ca="1">SUMIF($A$69:$A$191,A37,$J$69:$J$190)</f>
        <v>296.64999999999998</v>
      </c>
      <c r="K37" s="256">
        <v>95875</v>
      </c>
      <c r="L37" s="242">
        <v>1.67</v>
      </c>
      <c r="M37" s="242"/>
      <c r="N37" s="242">
        <v>1.75</v>
      </c>
      <c r="O37" s="51"/>
      <c r="P37" s="43">
        <v>24</v>
      </c>
      <c r="S37" s="41"/>
      <c r="U37" s="35">
        <v>0.08</v>
      </c>
    </row>
    <row r="38" spans="1:21" ht="32.25" customHeight="1">
      <c r="A38" s="74" t="s">
        <v>157</v>
      </c>
      <c r="B38" s="75" t="s">
        <v>417</v>
      </c>
      <c r="C38" s="84" t="s">
        <v>4</v>
      </c>
      <c r="D38" s="86">
        <f>SUMIF($A$69:$A$194,A38,$D$69:$D$194)</f>
        <v>24</v>
      </c>
      <c r="E38" s="87">
        <f t="shared" ref="E38" si="12">G38-F38</f>
        <v>57.74</v>
      </c>
      <c r="F38" s="87">
        <f t="shared" si="9"/>
        <v>0</v>
      </c>
      <c r="G38" s="85">
        <f t="shared" ref="G38" si="13">ROUND(N38*$N$18,2)</f>
        <v>57.74</v>
      </c>
      <c r="H38" s="88">
        <f ca="1">SUMIF($A$69:$A$191,A38,$H$69:$H$190)</f>
        <v>1385.76</v>
      </c>
      <c r="I38" s="88">
        <f ca="1">SUMIF($A$69:$A$191,A38,$I$69:$I$190)</f>
        <v>0</v>
      </c>
      <c r="J38" s="87">
        <f ca="1">SUMIF($A$69:$A$191,A38,$J$69:$J$190)</f>
        <v>1385.76</v>
      </c>
      <c r="K38" s="256">
        <v>37451</v>
      </c>
      <c r="L38" s="242"/>
      <c r="M38" s="242"/>
      <c r="N38" s="242">
        <v>46.48</v>
      </c>
      <c r="O38" s="51"/>
      <c r="P38" s="64"/>
      <c r="S38" s="41"/>
      <c r="U38" s="35">
        <v>0</v>
      </c>
    </row>
    <row r="39" spans="1:21" ht="32.25" customHeight="1">
      <c r="A39" s="74" t="s">
        <v>158</v>
      </c>
      <c r="B39" s="75" t="s">
        <v>405</v>
      </c>
      <c r="C39" s="84" t="s">
        <v>4</v>
      </c>
      <c r="D39" s="86">
        <f>SUMIF($A$69:$A$194,A39,$D$69:$D$194)</f>
        <v>22</v>
      </c>
      <c r="E39" s="87">
        <f t="shared" si="8"/>
        <v>118.76</v>
      </c>
      <c r="F39" s="87">
        <f t="shared" si="9"/>
        <v>0</v>
      </c>
      <c r="G39" s="85">
        <f t="shared" si="11"/>
        <v>118.76</v>
      </c>
      <c r="H39" s="88">
        <f ca="1">SUMIF($A$69:$A$191,A39,$H$69:$H$190)</f>
        <v>2612.7199999999998</v>
      </c>
      <c r="I39" s="88">
        <f ca="1">SUMIF($A$69:$A$191,A39,$I$69:$I$190)</f>
        <v>0</v>
      </c>
      <c r="J39" s="87">
        <f ca="1">SUMIF($A$69:$A$191,A39,$J$69:$J$190)</f>
        <v>2612.7199999999998</v>
      </c>
      <c r="K39" s="256">
        <v>7745</v>
      </c>
      <c r="L39" s="242"/>
      <c r="M39" s="242"/>
      <c r="N39" s="242">
        <v>95.6</v>
      </c>
      <c r="O39" s="51"/>
      <c r="P39" s="64"/>
      <c r="S39" s="41"/>
      <c r="U39" s="35">
        <v>0</v>
      </c>
    </row>
    <row r="40" spans="1:21" ht="32.25" customHeight="1">
      <c r="A40" s="74" t="s">
        <v>159</v>
      </c>
      <c r="B40" s="75" t="s">
        <v>406</v>
      </c>
      <c r="C40" s="84" t="s">
        <v>4</v>
      </c>
      <c r="D40" s="86">
        <f>SUMIF($A$69:$A$194,A40,$D$69:$D$194)</f>
        <v>46</v>
      </c>
      <c r="E40" s="87">
        <f t="shared" si="8"/>
        <v>0</v>
      </c>
      <c r="F40" s="87">
        <f t="shared" ref="F40" si="14">TRUNC(G40*U40,2)</f>
        <v>58.08</v>
      </c>
      <c r="G40" s="85">
        <f t="shared" si="11"/>
        <v>58.08</v>
      </c>
      <c r="H40" s="88">
        <f ca="1">SUMIF($A$69:$A$191,A40,$H$69:$H$190)</f>
        <v>0</v>
      </c>
      <c r="I40" s="88">
        <f ca="1">SUMIF($A$69:$A$191,A40,$I$69:$I$190)</f>
        <v>2671.6800000000003</v>
      </c>
      <c r="J40" s="87">
        <f ca="1">SUMIF($A$69:$A$191,A40,$J$69:$J$190)</f>
        <v>2671.6800000000003</v>
      </c>
      <c r="K40" s="256">
        <v>92809</v>
      </c>
      <c r="L40" s="242"/>
      <c r="M40" s="242"/>
      <c r="N40" s="242">
        <v>46.75</v>
      </c>
      <c r="O40" s="51"/>
      <c r="P40" s="64"/>
      <c r="S40" s="41"/>
      <c r="U40" s="35">
        <v>1</v>
      </c>
    </row>
    <row r="41" spans="1:21" ht="45">
      <c r="A41" s="74" t="s">
        <v>160</v>
      </c>
      <c r="B41" s="75" t="s">
        <v>366</v>
      </c>
      <c r="C41" s="84" t="s">
        <v>3</v>
      </c>
      <c r="D41" s="86">
        <f>SUMIF($A$69:$A$194,A41,$D$69:$D$194)</f>
        <v>53.11</v>
      </c>
      <c r="E41" s="87">
        <f t="shared" ref="E41" si="15">G41-F41</f>
        <v>19.64</v>
      </c>
      <c r="F41" s="87">
        <f t="shared" si="9"/>
        <v>3.74</v>
      </c>
      <c r="G41" s="85">
        <v>23.38</v>
      </c>
      <c r="H41" s="88">
        <f ca="1">SUMIF($A$69:$A$191,A41,$H$69:$H$190)</f>
        <v>1043.0899999999999</v>
      </c>
      <c r="I41" s="88">
        <f ca="1">SUMIF($A$69:$A$191,A41,$I$69:$I$190)</f>
        <v>198.62</v>
      </c>
      <c r="J41" s="87">
        <f ca="1">SUMIF($A$69:$A$191,A41,$J$69:$J$190)</f>
        <v>1241.71</v>
      </c>
      <c r="K41" s="256">
        <v>93368</v>
      </c>
      <c r="L41" s="242"/>
      <c r="M41" s="242"/>
      <c r="N41" s="242">
        <v>14.71</v>
      </c>
      <c r="O41" s="51"/>
      <c r="P41" s="64"/>
      <c r="S41" s="41"/>
      <c r="U41" s="35">
        <v>0.16</v>
      </c>
    </row>
    <row r="42" spans="1:21" ht="23.25" customHeight="1">
      <c r="A42" s="74" t="s">
        <v>151</v>
      </c>
      <c r="B42" s="75" t="s">
        <v>374</v>
      </c>
      <c r="C42" s="84" t="s">
        <v>5</v>
      </c>
      <c r="D42" s="86">
        <f>SUMIF($A$69:$A$194,A42,$D$69:$D$194)</f>
        <v>5</v>
      </c>
      <c r="E42" s="87">
        <f t="shared" ref="E42" si="16">G42-F42</f>
        <v>1557.52</v>
      </c>
      <c r="F42" s="87">
        <f t="shared" ref="F42" si="17">TRUNC(G42*U42,2)</f>
        <v>296.66000000000003</v>
      </c>
      <c r="G42" s="85">
        <f t="shared" ref="G42" si="18">ROUND(N42*$N$18,2)</f>
        <v>1854.18</v>
      </c>
      <c r="H42" s="88">
        <f ca="1">SUMIF($A$69:$A$191,A42,$H$69:$H$190)</f>
        <v>7787.5999999999995</v>
      </c>
      <c r="I42" s="88">
        <f ca="1">SUMIF($A$69:$A$191,A42,$I$69:$I$190)</f>
        <v>1483.3000000000002</v>
      </c>
      <c r="J42" s="87">
        <f ca="1">SUMIF($A$69:$A$191,A42,$J$69:$J$190)</f>
        <v>9270.9</v>
      </c>
      <c r="K42" s="256" t="s">
        <v>389</v>
      </c>
      <c r="L42" s="242"/>
      <c r="M42" s="242"/>
      <c r="N42" s="242">
        <f>CPU!H148</f>
        <v>1492.5399999999997</v>
      </c>
      <c r="O42" s="51"/>
      <c r="P42" s="64"/>
      <c r="S42" s="41"/>
      <c r="U42" s="35">
        <v>0.16</v>
      </c>
    </row>
    <row r="43" spans="1:21" ht="21.95" customHeight="1">
      <c r="A43" s="76" t="str">
        <f>CONCATENATE("TOTAL DO ITEM ",A33," - ",B33)</f>
        <v>TOTAL DO ITEM 3 - DRENAGEM</v>
      </c>
      <c r="B43" s="77"/>
      <c r="C43" s="96"/>
      <c r="D43" s="96"/>
      <c r="E43" s="97"/>
      <c r="F43" s="97"/>
      <c r="G43" s="97"/>
      <c r="H43" s="98">
        <f ca="1">SUM(H34:H42)</f>
        <v>13981.86</v>
      </c>
      <c r="I43" s="98">
        <f ca="1">SUM(I34:I42)</f>
        <v>4541.41</v>
      </c>
      <c r="J43" s="92">
        <f ca="1">SUM(J34:J42)</f>
        <v>18523.269999999997</v>
      </c>
      <c r="K43" s="259"/>
      <c r="S43" s="41"/>
      <c r="T43" s="42"/>
      <c r="U43" s="42"/>
    </row>
    <row r="44" spans="1:21" ht="21.95" customHeight="1">
      <c r="A44" s="78">
        <v>4</v>
      </c>
      <c r="B44" s="77" t="s">
        <v>146</v>
      </c>
      <c r="C44" s="93"/>
      <c r="D44" s="82"/>
      <c r="E44" s="90"/>
      <c r="F44" s="90"/>
      <c r="G44" s="90"/>
      <c r="H44" s="90"/>
      <c r="I44" s="90"/>
      <c r="J44" s="94"/>
      <c r="K44" s="256"/>
      <c r="S44" s="41"/>
    </row>
    <row r="45" spans="1:21" ht="30">
      <c r="A45" s="74" t="s">
        <v>30</v>
      </c>
      <c r="B45" s="75" t="s">
        <v>420</v>
      </c>
      <c r="C45" s="84" t="s">
        <v>3</v>
      </c>
      <c r="D45" s="86">
        <f>SUMIF($A$69:$A$194,A45,$D$69:$D$194)</f>
        <v>241.58999999999997</v>
      </c>
      <c r="E45" s="87">
        <f t="shared" ref="E45:E51" si="19">G45-F45</f>
        <v>109.35000000000001</v>
      </c>
      <c r="F45" s="87">
        <f t="shared" ref="F45:F52" si="20">TRUNC(G45*U45,2)</f>
        <v>14.91</v>
      </c>
      <c r="G45" s="85">
        <v>124.26</v>
      </c>
      <c r="H45" s="88">
        <f ca="1">SUMIF($A$69:$A$191,A45,$H$69:$H$190)</f>
        <v>26417.87</v>
      </c>
      <c r="I45" s="88">
        <f ca="1">SUMIF($A$69:$A$191,A45,$I$69:$I$190)</f>
        <v>3602.1</v>
      </c>
      <c r="J45" s="87">
        <f ca="1">SUMIF($A$69:$A$191,A45,$J$69:$J$190)</f>
        <v>30019.97</v>
      </c>
      <c r="K45" s="256">
        <v>96400</v>
      </c>
      <c r="L45" s="242">
        <v>68.010000000000005</v>
      </c>
      <c r="M45" s="242"/>
      <c r="N45" s="242">
        <v>90.53</v>
      </c>
      <c r="S45" s="41"/>
      <c r="U45" s="35">
        <v>0.12</v>
      </c>
    </row>
    <row r="46" spans="1:21" ht="30">
      <c r="A46" s="74" t="s">
        <v>150</v>
      </c>
      <c r="B46" s="75" t="s">
        <v>413</v>
      </c>
      <c r="C46" s="84" t="s">
        <v>229</v>
      </c>
      <c r="D46" s="86">
        <f>SUMIF($A$69:$A$194,A46,$D$69:$D$194)</f>
        <v>6989.2000000000007</v>
      </c>
      <c r="E46" s="87">
        <f t="shared" si="19"/>
        <v>1.8499999999999999</v>
      </c>
      <c r="F46" s="87">
        <f t="shared" si="20"/>
        <v>0.16</v>
      </c>
      <c r="G46" s="85">
        <v>2.0099999999999998</v>
      </c>
      <c r="H46" s="88">
        <f ca="1">SUMIF($A$69:$A$191,A46,$H$69:$H$190)</f>
        <v>12930.01</v>
      </c>
      <c r="I46" s="88">
        <f ca="1">SUMIF($A$69:$A$191,A46,$I$69:$I$190)</f>
        <v>1118.27</v>
      </c>
      <c r="J46" s="87">
        <f ca="1">SUMIF($A$69:$A$191,A46,$J$69:$J$190)</f>
        <v>14048.279999999999</v>
      </c>
      <c r="K46" s="256">
        <v>95875</v>
      </c>
      <c r="L46" s="242">
        <v>1.67</v>
      </c>
      <c r="M46" s="242"/>
      <c r="N46" s="242">
        <v>1.75</v>
      </c>
      <c r="O46" s="245"/>
      <c r="P46" s="43">
        <v>26.3</v>
      </c>
      <c r="S46" s="41"/>
      <c r="U46" s="35">
        <v>0.08</v>
      </c>
    </row>
    <row r="47" spans="1:21" ht="30">
      <c r="A47" s="74" t="s">
        <v>148</v>
      </c>
      <c r="B47" s="75" t="s">
        <v>404</v>
      </c>
      <c r="C47" s="84" t="s">
        <v>3</v>
      </c>
      <c r="D47" s="86">
        <f>SUMIF($A$69:$A$194,A47,$D$69:$D$194)</f>
        <v>224.04000000000002</v>
      </c>
      <c r="E47" s="87">
        <f t="shared" si="19"/>
        <v>120.35</v>
      </c>
      <c r="F47" s="87">
        <f t="shared" si="20"/>
        <v>16.41</v>
      </c>
      <c r="G47" s="85">
        <v>136.76</v>
      </c>
      <c r="H47" s="88">
        <f ca="1">SUMIF($A$69:$A$191,A47,$H$69:$H$190)</f>
        <v>26963.22</v>
      </c>
      <c r="I47" s="88">
        <f ca="1">SUMIF($A$69:$A$191,A47,$I$69:$I$190)</f>
        <v>3676.48</v>
      </c>
      <c r="J47" s="87">
        <f ca="1">SUMIF($A$69:$A$191,A47,$J$69:$J$190)</f>
        <v>30639.7</v>
      </c>
      <c r="K47" s="256">
        <v>96396</v>
      </c>
      <c r="L47" s="242">
        <v>98.23</v>
      </c>
      <c r="M47" s="242"/>
      <c r="N47" s="242">
        <v>99.32</v>
      </c>
      <c r="S47" s="41"/>
      <c r="U47" s="35">
        <v>0.12</v>
      </c>
    </row>
    <row r="48" spans="1:21" ht="30">
      <c r="A48" s="74" t="s">
        <v>349</v>
      </c>
      <c r="B48" s="75" t="s">
        <v>413</v>
      </c>
      <c r="C48" s="84" t="s">
        <v>229</v>
      </c>
      <c r="D48" s="86">
        <f>SUMIF($A$69:$A$194,A48,$D$69:$D$194)</f>
        <v>8543.76</v>
      </c>
      <c r="E48" s="87">
        <f t="shared" si="19"/>
        <v>1.8499999999999999</v>
      </c>
      <c r="F48" s="87">
        <f t="shared" si="20"/>
        <v>0.16</v>
      </c>
      <c r="G48" s="85">
        <v>2.0099999999999998</v>
      </c>
      <c r="H48" s="88">
        <f ca="1">SUMIF($A$69:$A$191,A48,$H$69:$H$190)</f>
        <v>15805.960000000001</v>
      </c>
      <c r="I48" s="88">
        <f ca="1">SUMIF($A$69:$A$191,A48,$I$69:$I$190)</f>
        <v>1366.99</v>
      </c>
      <c r="J48" s="87">
        <f ca="1">SUMIF($A$69:$A$191,A48,$J$69:$J$190)</f>
        <v>17172.95</v>
      </c>
      <c r="K48" s="256">
        <v>95875</v>
      </c>
      <c r="L48" s="242">
        <v>1.67</v>
      </c>
      <c r="M48" s="242"/>
      <c r="N48" s="242">
        <v>1.75</v>
      </c>
      <c r="O48" s="245"/>
      <c r="P48" s="43">
        <v>26.3</v>
      </c>
      <c r="S48" s="41"/>
      <c r="U48" s="35">
        <v>0.08</v>
      </c>
    </row>
    <row r="49" spans="1:21" ht="21.95" customHeight="1">
      <c r="A49" s="74" t="s">
        <v>351</v>
      </c>
      <c r="B49" s="75" t="s">
        <v>31</v>
      </c>
      <c r="C49" s="84" t="s">
        <v>2</v>
      </c>
      <c r="D49" s="86">
        <f>SUMIF($A$69:$A$194,A49,$D$69:$D$194)</f>
        <v>1493.5900000000001</v>
      </c>
      <c r="E49" s="87">
        <f t="shared" si="19"/>
        <v>10.36</v>
      </c>
      <c r="F49" s="87">
        <f t="shared" si="20"/>
        <v>1.1499999999999999</v>
      </c>
      <c r="G49" s="85">
        <v>11.51</v>
      </c>
      <c r="H49" s="88">
        <f ca="1">SUMIF($A$69:$A$191,A49,$H$69:$H$190)</f>
        <v>15473.600000000002</v>
      </c>
      <c r="I49" s="88">
        <f ca="1">SUMIF($A$69:$A$191,A49,$I$69:$I$190)</f>
        <v>1717.62</v>
      </c>
      <c r="J49" s="87">
        <f ca="1">SUMIF($A$69:$A$191,A49,$J$69:$J$190)</f>
        <v>17191.22</v>
      </c>
      <c r="K49" s="256" t="s">
        <v>305</v>
      </c>
      <c r="L49" s="242">
        <v>7.38</v>
      </c>
      <c r="M49" s="242"/>
      <c r="N49" s="242">
        <f>CPU!H47</f>
        <v>7.8699999999999983</v>
      </c>
      <c r="S49" s="41"/>
      <c r="U49" s="35">
        <v>0.1</v>
      </c>
    </row>
    <row r="50" spans="1:21" ht="21.95" customHeight="1">
      <c r="A50" s="74" t="s">
        <v>352</v>
      </c>
      <c r="B50" s="75" t="s">
        <v>215</v>
      </c>
      <c r="C50" s="84" t="s">
        <v>2</v>
      </c>
      <c r="D50" s="86">
        <f>SUMIF($A$69:$A$194,A50,$D$69:$D$194)</f>
        <v>1376.5900000000001</v>
      </c>
      <c r="E50" s="87">
        <f t="shared" si="19"/>
        <v>3.1100000000000003</v>
      </c>
      <c r="F50" s="87">
        <f t="shared" si="20"/>
        <v>0.34</v>
      </c>
      <c r="G50" s="85">
        <v>3.45</v>
      </c>
      <c r="H50" s="88">
        <f ca="1">SUMIF($A$69:$A$191,A50,$H$69:$H$190)</f>
        <v>4281.1899999999996</v>
      </c>
      <c r="I50" s="88">
        <f ca="1">SUMIF($A$69:$A$191,A50,$I$69:$I$190)</f>
        <v>468.04</v>
      </c>
      <c r="J50" s="87">
        <f ca="1">SUMIF($A$69:$A$191,A50,$J$69:$J$190)</f>
        <v>4749.2299999999996</v>
      </c>
      <c r="K50" s="256" t="s">
        <v>306</v>
      </c>
      <c r="L50" s="242">
        <v>2.2799999999999998</v>
      </c>
      <c r="M50" s="242"/>
      <c r="N50" s="242">
        <f>CPU!H67</f>
        <v>2.5000000000000004</v>
      </c>
      <c r="S50" s="41"/>
      <c r="U50" s="35">
        <v>0.1</v>
      </c>
    </row>
    <row r="51" spans="1:21" ht="21.95" customHeight="1">
      <c r="A51" s="74" t="s">
        <v>353</v>
      </c>
      <c r="B51" s="75" t="s">
        <v>419</v>
      </c>
      <c r="C51" s="84" t="s">
        <v>3</v>
      </c>
      <c r="D51" s="86">
        <f>SUMIF($A$69:$A$194,A51,$D$69:$D$194)</f>
        <v>55.063600000000001</v>
      </c>
      <c r="E51" s="87">
        <f t="shared" si="19"/>
        <v>1491.71</v>
      </c>
      <c r="F51" s="87">
        <f t="shared" si="20"/>
        <v>165.74</v>
      </c>
      <c r="G51" s="85">
        <v>1657.45</v>
      </c>
      <c r="H51" s="88">
        <f ca="1">SUMIF($A$69:$A$191,A51,$H$69:$H$190)</f>
        <v>82138.929999999993</v>
      </c>
      <c r="I51" s="88">
        <f ca="1">SUMIF($A$69:$A$191,A51,$I$69:$I$190)</f>
        <v>9126.23</v>
      </c>
      <c r="J51" s="87">
        <f ca="1">SUMIF($A$69:$A$191,A51,$J$69:$J$190)</f>
        <v>91265.16</v>
      </c>
      <c r="K51" s="256" t="s">
        <v>307</v>
      </c>
      <c r="L51" s="242">
        <v>1153.5600000000002</v>
      </c>
      <c r="M51" s="242"/>
      <c r="N51" s="242">
        <f>CPU!H90</f>
        <v>1214.9599999999998</v>
      </c>
      <c r="S51" s="41"/>
      <c r="U51" s="35">
        <v>0.1</v>
      </c>
    </row>
    <row r="52" spans="1:21" ht="30">
      <c r="A52" s="74" t="s">
        <v>354</v>
      </c>
      <c r="B52" s="75" t="s">
        <v>413</v>
      </c>
      <c r="C52" s="84" t="s">
        <v>229</v>
      </c>
      <c r="D52" s="86">
        <f>SUMIF($A$69:$A$194,A52,$D$69:$D$194)</f>
        <v>2099.85</v>
      </c>
      <c r="E52" s="87">
        <f t="shared" ref="E52" si="21">G52-F52</f>
        <v>1.8499999999999999</v>
      </c>
      <c r="F52" s="87">
        <f t="shared" si="20"/>
        <v>0.16</v>
      </c>
      <c r="G52" s="85">
        <v>2.0099999999999998</v>
      </c>
      <c r="H52" s="88">
        <f ca="1">SUMIF($A$69:$A$191,A52,$H$69:$H$190)</f>
        <v>3884.73</v>
      </c>
      <c r="I52" s="88">
        <f ca="1">SUMIF($A$69:$A$191,A52,$I$69:$I$190)</f>
        <v>335.96000000000004</v>
      </c>
      <c r="J52" s="87">
        <f ca="1">SUMIF($A$69:$A$191,A52,$J$69:$J$190)</f>
        <v>4220.6900000000005</v>
      </c>
      <c r="K52" s="256">
        <v>95875</v>
      </c>
      <c r="L52" s="242">
        <v>1.67</v>
      </c>
      <c r="M52" s="242"/>
      <c r="N52" s="242">
        <v>1.75</v>
      </c>
      <c r="O52" s="245"/>
      <c r="P52" s="43">
        <v>26.3</v>
      </c>
      <c r="S52" s="41"/>
      <c r="U52" s="35">
        <v>0.08</v>
      </c>
    </row>
    <row r="53" spans="1:21" ht="21.95" customHeight="1">
      <c r="A53" s="76" t="str">
        <f>CONCATENATE("TOTAL DO ITEM ",A44," - ",B44)</f>
        <v>TOTAL DO ITEM 4 - PAVIMENTAÇÃO</v>
      </c>
      <c r="B53" s="77"/>
      <c r="C53" s="96"/>
      <c r="D53" s="96"/>
      <c r="E53" s="97"/>
      <c r="F53" s="97"/>
      <c r="G53" s="97"/>
      <c r="H53" s="98">
        <f ca="1">SUM(H45:H52)</f>
        <v>187895.51000000004</v>
      </c>
      <c r="I53" s="98">
        <f ca="1">SUM(I45:I52)</f>
        <v>21411.69</v>
      </c>
      <c r="J53" s="99">
        <f ca="1">SUM(J45:J52)</f>
        <v>209307.2</v>
      </c>
      <c r="K53" s="260"/>
      <c r="S53" s="41"/>
      <c r="T53" s="42"/>
      <c r="U53" s="42"/>
    </row>
    <row r="54" spans="1:21" ht="21.95" customHeight="1">
      <c r="A54" s="78">
        <v>5</v>
      </c>
      <c r="B54" s="77" t="s">
        <v>32</v>
      </c>
      <c r="C54" s="93"/>
      <c r="D54" s="82"/>
      <c r="E54" s="90"/>
      <c r="F54" s="90"/>
      <c r="G54" s="90"/>
      <c r="H54" s="90"/>
      <c r="I54" s="90"/>
      <c r="J54" s="94"/>
      <c r="K54" s="256"/>
      <c r="S54" s="41"/>
    </row>
    <row r="55" spans="1:21" ht="21.95" customHeight="1">
      <c r="A55" s="74" t="s">
        <v>358</v>
      </c>
      <c r="B55" s="75" t="s">
        <v>350</v>
      </c>
      <c r="C55" s="84" t="s">
        <v>2</v>
      </c>
      <c r="D55" s="86">
        <f>SUMIF($A$69:$A$194,A55,$D$69:$D$194)</f>
        <v>109.4</v>
      </c>
      <c r="E55" s="87">
        <f t="shared" ref="E55" si="22">G55-F55</f>
        <v>1.66</v>
      </c>
      <c r="F55" s="87">
        <f t="shared" ref="F55:F61" si="23">TRUNC(G55*U55,2)</f>
        <v>0.33</v>
      </c>
      <c r="G55" s="85">
        <f>ROUND(N55*$N$18,2)</f>
        <v>1.99</v>
      </c>
      <c r="H55" s="88">
        <f ca="1">SUMIF($A$69:$A$191,A55,$H$69:$H$190)</f>
        <v>181.6</v>
      </c>
      <c r="I55" s="88">
        <f ca="1">SUMIF($A$69:$A$191,A55,$I$69:$I$190)</f>
        <v>36.090000000000003</v>
      </c>
      <c r="J55" s="87">
        <f ca="1">SUMIF($A$69:$A$191,A55,$J$69:$J$190)</f>
        <v>217.69</v>
      </c>
      <c r="K55" s="256">
        <v>99814</v>
      </c>
      <c r="L55" s="242"/>
      <c r="M55" s="242"/>
      <c r="N55" s="242">
        <v>1.6</v>
      </c>
      <c r="Q55" s="34"/>
      <c r="R55" s="34" t="s">
        <v>155</v>
      </c>
      <c r="S55" s="41"/>
      <c r="U55" s="35">
        <v>0.17</v>
      </c>
    </row>
    <row r="56" spans="1:21" ht="21.95" customHeight="1">
      <c r="A56" s="74" t="s">
        <v>359</v>
      </c>
      <c r="B56" s="75" t="s">
        <v>166</v>
      </c>
      <c r="C56" s="84" t="s">
        <v>2</v>
      </c>
      <c r="D56" s="86">
        <f>SUMIF($A$69:$A$194,A56,$D$69:$D$194)</f>
        <v>70.2</v>
      </c>
      <c r="E56" s="87">
        <f t="shared" ref="E56:E57" si="24">G56-F56</f>
        <v>28.480000000000004</v>
      </c>
      <c r="F56" s="87">
        <f t="shared" si="23"/>
        <v>5.83</v>
      </c>
      <c r="G56" s="85">
        <f>ROUND(N56*$N$18,2)</f>
        <v>34.31</v>
      </c>
      <c r="H56" s="88">
        <f ca="1">SUMIF($A$69:$A$191,A56,$H$69:$H$190)</f>
        <v>1999.3000000000002</v>
      </c>
      <c r="I56" s="88">
        <f ca="1">SUMIF($A$69:$A$191,A56,$I$69:$I$190)</f>
        <v>409.25</v>
      </c>
      <c r="J56" s="87">
        <f ca="1">SUMIF($A$69:$A$191,A56,$J$69:$J$190)</f>
        <v>2408.5500000000002</v>
      </c>
      <c r="K56" s="256" t="s">
        <v>343</v>
      </c>
      <c r="L56" s="242">
        <v>27.62</v>
      </c>
      <c r="M56" s="242"/>
      <c r="N56" s="242">
        <v>27.62</v>
      </c>
      <c r="P56" s="34" t="s">
        <v>153</v>
      </c>
      <c r="Q56" s="34" t="s">
        <v>154</v>
      </c>
      <c r="R56" s="34" t="s">
        <v>155</v>
      </c>
      <c r="S56" s="41"/>
      <c r="U56" s="35">
        <v>0.17</v>
      </c>
    </row>
    <row r="57" spans="1:21" ht="21.95" customHeight="1">
      <c r="A57" s="74" t="s">
        <v>360</v>
      </c>
      <c r="B57" s="75" t="s">
        <v>165</v>
      </c>
      <c r="C57" s="84" t="s">
        <v>2</v>
      </c>
      <c r="D57" s="86">
        <f>SUMIF($A$69:$A$194,A57,$D$69:$D$194)</f>
        <v>39.200000000000003</v>
      </c>
      <c r="E57" s="87">
        <f t="shared" si="24"/>
        <v>40.97</v>
      </c>
      <c r="F57" s="87">
        <f t="shared" si="23"/>
        <v>8.39</v>
      </c>
      <c r="G57" s="85">
        <f t="shared" ref="G57" si="25">ROUND(N57*$N$18,2)</f>
        <v>49.36</v>
      </c>
      <c r="H57" s="88">
        <f ca="1">SUMIF($A$69:$A$191,A57,$H$69:$H$190)</f>
        <v>1606.02</v>
      </c>
      <c r="I57" s="88">
        <f ca="1">SUMIF($A$69:$A$191,A57,$I$69:$I$190)</f>
        <v>328.88</v>
      </c>
      <c r="J57" s="87">
        <f ca="1">SUMIF($A$69:$A$191,A57,$J$69:$J$190)</f>
        <v>1934.9</v>
      </c>
      <c r="K57" s="256" t="s">
        <v>344</v>
      </c>
      <c r="L57" s="242">
        <v>32.03</v>
      </c>
      <c r="M57" s="242"/>
      <c r="N57" s="242">
        <v>39.729999999999997</v>
      </c>
      <c r="P57" s="243">
        <v>519.75</v>
      </c>
      <c r="Q57" s="244">
        <f>ROUND(140.66*3,2)</f>
        <v>421.98</v>
      </c>
      <c r="R57" s="32"/>
      <c r="S57" s="41" t="s">
        <v>152</v>
      </c>
      <c r="U57" s="35">
        <v>0.17</v>
      </c>
    </row>
    <row r="58" spans="1:21" ht="21.95" customHeight="1">
      <c r="A58" s="74" t="s">
        <v>361</v>
      </c>
      <c r="B58" s="75" t="s">
        <v>407</v>
      </c>
      <c r="C58" s="84" t="s">
        <v>5</v>
      </c>
      <c r="D58" s="86">
        <f>SUMIF($A$69:$A$194,A58,$D$69:$D$194)</f>
        <v>1</v>
      </c>
      <c r="E58" s="87">
        <f t="shared" ref="E58:E61" si="26">G58-F58</f>
        <v>569.09</v>
      </c>
      <c r="F58" s="87">
        <f t="shared" si="23"/>
        <v>116.55</v>
      </c>
      <c r="G58" s="85">
        <f t="shared" ref="G58:G61" si="27">ROUND(N58*$N$18,2)</f>
        <v>685.64</v>
      </c>
      <c r="H58" s="88">
        <f ca="1">SUMIF($A$69:$A$191,A58,$H$69:$H$190)</f>
        <v>569.09</v>
      </c>
      <c r="I58" s="88">
        <f ca="1">SUMIF($A$69:$A$191,A58,$I$69:$I$190)</f>
        <v>116.55</v>
      </c>
      <c r="J58" s="87">
        <f ca="1">SUMIF($A$69:$A$191,A58,$J$69:$J$190)</f>
        <v>685.64</v>
      </c>
      <c r="K58" s="256" t="s">
        <v>193</v>
      </c>
      <c r="L58" s="242">
        <v>495.99</v>
      </c>
      <c r="M58" s="242"/>
      <c r="N58" s="242">
        <f>TRUNC((R58*$P$57)+($Q$57*1),2)</f>
        <v>551.91</v>
      </c>
      <c r="R58" s="32">
        <f>ROUND(0.5*0.5,2)</f>
        <v>0.25</v>
      </c>
      <c r="S58" s="41" t="s">
        <v>152</v>
      </c>
      <c r="U58" s="35">
        <v>0.17</v>
      </c>
    </row>
    <row r="59" spans="1:21" ht="21.95" customHeight="1">
      <c r="A59" s="74" t="s">
        <v>362</v>
      </c>
      <c r="B59" s="75" t="s">
        <v>414</v>
      </c>
      <c r="C59" s="84" t="s">
        <v>5</v>
      </c>
      <c r="D59" s="86">
        <f>SUMIF($A$69:$A$194,A59,$D$69:$D$194)</f>
        <v>4</v>
      </c>
      <c r="E59" s="87">
        <f t="shared" si="26"/>
        <v>569.09</v>
      </c>
      <c r="F59" s="87">
        <f t="shared" si="23"/>
        <v>116.55</v>
      </c>
      <c r="G59" s="85">
        <f t="shared" si="27"/>
        <v>685.64</v>
      </c>
      <c r="H59" s="88">
        <f ca="1">SUMIF($A$69:$A$191,A59,$H$69:$H$190)</f>
        <v>2276.36</v>
      </c>
      <c r="I59" s="88">
        <f ca="1">SUMIF($A$69:$A$191,A59,$I$69:$I$190)</f>
        <v>466.2</v>
      </c>
      <c r="J59" s="87">
        <f ca="1">SUMIF($A$69:$A$191,A59,$J$69:$J$190)</f>
        <v>2742.56</v>
      </c>
      <c r="K59" s="256" t="s">
        <v>193</v>
      </c>
      <c r="L59" s="242">
        <v>495.99</v>
      </c>
      <c r="M59" s="242"/>
      <c r="N59" s="242">
        <f>TRUNC((R59*$P$57)+($Q$57*1),2)</f>
        <v>551.91</v>
      </c>
      <c r="R59" s="32">
        <f>ROUND(0.5*0.5,2)</f>
        <v>0.25</v>
      </c>
      <c r="S59" s="41" t="s">
        <v>152</v>
      </c>
      <c r="U59" s="35">
        <v>0.17</v>
      </c>
    </row>
    <row r="60" spans="1:21" ht="21.95" customHeight="1">
      <c r="A60" s="74" t="s">
        <v>363</v>
      </c>
      <c r="B60" s="75" t="s">
        <v>410</v>
      </c>
      <c r="C60" s="84" t="s">
        <v>5</v>
      </c>
      <c r="D60" s="86">
        <f>SUMIF($A$69:$A$194,A60,$D$69:$D$194)</f>
        <v>3</v>
      </c>
      <c r="E60" s="87">
        <f t="shared" si="26"/>
        <v>542.29</v>
      </c>
      <c r="F60" s="87">
        <f t="shared" si="23"/>
        <v>111.07</v>
      </c>
      <c r="G60" s="85">
        <f t="shared" si="27"/>
        <v>653.36</v>
      </c>
      <c r="H60" s="88">
        <f ca="1">SUMIF($A$69:$A$191,A60,$H$69:$H$190)</f>
        <v>1626.87</v>
      </c>
      <c r="I60" s="88">
        <f ca="1">SUMIF($A$69:$A$191,A60,$I$69:$I$190)</f>
        <v>333.21</v>
      </c>
      <c r="J60" s="87">
        <f ca="1">SUMIF($A$69:$A$191,A60,$J$69:$J$190)</f>
        <v>1960.08</v>
      </c>
      <c r="K60" s="256" t="s">
        <v>193</v>
      </c>
      <c r="L60" s="242">
        <v>495.99</v>
      </c>
      <c r="M60" s="242"/>
      <c r="N60" s="242">
        <f>TRUNC((R60*$P$57)+($Q$57*1),2)</f>
        <v>525.92999999999995</v>
      </c>
      <c r="R60" s="32">
        <f>ROUND(PI()*0.5^2/4,2)</f>
        <v>0.2</v>
      </c>
      <c r="S60" s="41" t="s">
        <v>152</v>
      </c>
      <c r="U60" s="35">
        <v>0.17</v>
      </c>
    </row>
    <row r="61" spans="1:21" ht="21.95" customHeight="1">
      <c r="A61" s="74" t="s">
        <v>364</v>
      </c>
      <c r="B61" s="75" t="s">
        <v>356</v>
      </c>
      <c r="C61" s="84" t="s">
        <v>5</v>
      </c>
      <c r="D61" s="86">
        <f>SUMIF($A$69:$A$194,A61,$D$69:$D$194)</f>
        <v>30</v>
      </c>
      <c r="E61" s="87">
        <f t="shared" si="26"/>
        <v>23.96</v>
      </c>
      <c r="F61" s="87">
        <f t="shared" si="23"/>
        <v>4.9000000000000004</v>
      </c>
      <c r="G61" s="85">
        <f t="shared" si="27"/>
        <v>28.86</v>
      </c>
      <c r="H61" s="88">
        <f ca="1">SUMIF($A$69:$A$191,A61,$H$69:$H$190)</f>
        <v>718.8</v>
      </c>
      <c r="I61" s="88">
        <f ca="1">SUMIF($A$69:$A$191,A61,$I$69:$I$190)</f>
        <v>147</v>
      </c>
      <c r="J61" s="87">
        <f ca="1">SUMIF($A$69:$A$191,A61,$J$69:$J$190)</f>
        <v>865.8</v>
      </c>
      <c r="K61" s="256" t="s">
        <v>355</v>
      </c>
      <c r="L61" s="309"/>
      <c r="M61" s="308"/>
      <c r="N61" s="242">
        <v>23.23</v>
      </c>
      <c r="O61" s="242"/>
      <c r="R61" s="32"/>
      <c r="S61" s="41"/>
      <c r="U61" s="35">
        <v>0.17</v>
      </c>
    </row>
    <row r="62" spans="1:21" ht="21.95" customHeight="1">
      <c r="A62" s="76" t="str">
        <f>CONCATENATE("TOTAL DO ITEM ",A54," - ",B54)</f>
        <v>TOTAL DO ITEM 5 - SINALIZAÇÃO</v>
      </c>
      <c r="B62" s="77"/>
      <c r="C62" s="96"/>
      <c r="D62" s="96"/>
      <c r="E62" s="97"/>
      <c r="F62" s="97"/>
      <c r="G62" s="97"/>
      <c r="H62" s="98">
        <f ca="1">SUM(H55:H61)</f>
        <v>8978.0400000000009</v>
      </c>
      <c r="I62" s="98">
        <f ca="1">SUM(I55:I61)</f>
        <v>1837.18</v>
      </c>
      <c r="J62" s="99">
        <f ca="1">SUM(J55:J61)</f>
        <v>10815.22</v>
      </c>
      <c r="K62" s="259"/>
      <c r="L62" s="310"/>
      <c r="T62" s="42"/>
    </row>
    <row r="63" spans="1:21" ht="33.75" customHeight="1">
      <c r="A63" s="342" t="s">
        <v>33</v>
      </c>
      <c r="B63" s="343"/>
      <c r="C63" s="344"/>
      <c r="D63" s="344"/>
      <c r="E63" s="345"/>
      <c r="F63" s="345"/>
      <c r="G63" s="345"/>
      <c r="H63" s="346">
        <f ca="1">H23+H32+H43+H53+H62</f>
        <v>234322.30000000005</v>
      </c>
      <c r="I63" s="346">
        <f ca="1">I23+I32+I43+I53+I62</f>
        <v>54065.919999999998</v>
      </c>
      <c r="J63" s="347">
        <f ca="1">J23+J32+J43+J53+J62</f>
        <v>288388.21999999997</v>
      </c>
      <c r="K63" s="348"/>
      <c r="L63" s="44">
        <f ca="1">J63/D20</f>
        <v>209.49463529445944</v>
      </c>
      <c r="M63" s="44"/>
      <c r="N63" s="44"/>
      <c r="S63" s="45"/>
      <c r="T63" s="42"/>
    </row>
    <row r="64" spans="1:21" ht="23.25" customHeight="1">
      <c r="A64" s="102" t="s">
        <v>347</v>
      </c>
      <c r="B64" s="119"/>
      <c r="C64" s="102"/>
      <c r="D64" s="227"/>
      <c r="E64" s="103"/>
      <c r="F64" s="103"/>
      <c r="G64" s="103"/>
      <c r="H64" s="103"/>
      <c r="I64" s="103"/>
      <c r="J64" s="103"/>
      <c r="K64" s="104"/>
      <c r="L64" s="54"/>
      <c r="M64" s="54"/>
      <c r="N64" s="54"/>
      <c r="S64" s="45"/>
    </row>
    <row r="65" spans="1:26" ht="22.5" customHeight="1">
      <c r="A65" s="102" t="s">
        <v>397</v>
      </c>
      <c r="B65" s="119"/>
      <c r="C65" s="102"/>
      <c r="D65" s="102"/>
      <c r="E65" s="103"/>
      <c r="F65" s="103"/>
      <c r="G65" s="103"/>
      <c r="H65" s="103"/>
      <c r="I65" s="103"/>
      <c r="J65" s="103"/>
      <c r="K65" s="267"/>
      <c r="L65" s="104"/>
      <c r="M65" s="104"/>
      <c r="N65" s="104"/>
      <c r="S65" s="45"/>
    </row>
    <row r="66" spans="1:26" ht="22.5" customHeight="1">
      <c r="A66" s="102" t="s">
        <v>398</v>
      </c>
      <c r="C66" s="334"/>
      <c r="D66" s="334"/>
      <c r="G66" s="334"/>
      <c r="H66" s="334"/>
      <c r="I66" s="334"/>
      <c r="J66" s="334"/>
      <c r="K66" s="334"/>
      <c r="L66" s="103">
        <f ca="1">H63/D20</f>
        <v>170.2193826774857</v>
      </c>
      <c r="M66" s="103"/>
      <c r="N66" s="103">
        <f ca="1">J63/D20</f>
        <v>209.49463529445944</v>
      </c>
      <c r="O66" s="66">
        <f ca="1">H63/J63</f>
        <v>0.81252382638930287</v>
      </c>
      <c r="P66" s="67">
        <f ca="1">I63/J63</f>
        <v>0.18747617361069743</v>
      </c>
      <c r="S66" s="45"/>
    </row>
    <row r="67" spans="1:26" ht="23.25" customHeight="1">
      <c r="B67" s="334"/>
      <c r="C67" s="335"/>
      <c r="D67" s="335"/>
      <c r="F67" s="334"/>
      <c r="G67" s="335"/>
      <c r="H67" s="335"/>
      <c r="I67" s="335"/>
      <c r="J67" s="335"/>
      <c r="K67" s="335"/>
      <c r="L67" s="54"/>
      <c r="M67" s="54"/>
      <c r="N67" s="54"/>
      <c r="S67" s="45"/>
    </row>
    <row r="68" spans="1:26" ht="23.25" customHeight="1">
      <c r="B68" s="359" t="s">
        <v>393</v>
      </c>
      <c r="C68" s="335"/>
      <c r="D68" s="335"/>
      <c r="F68" s="359" t="s">
        <v>395</v>
      </c>
      <c r="G68" s="335"/>
      <c r="H68" s="335"/>
      <c r="I68" s="335"/>
      <c r="J68" s="335"/>
      <c r="K68" s="335"/>
      <c r="L68" s="54"/>
      <c r="M68" s="54"/>
      <c r="N68" s="54"/>
      <c r="S68" s="45"/>
    </row>
    <row r="69" spans="1:26" s="47" customFormat="1" ht="21" customHeight="1">
      <c r="A69" s="102"/>
      <c r="B69" s="359" t="s">
        <v>394</v>
      </c>
      <c r="E69" s="105"/>
      <c r="F69" s="359" t="s">
        <v>396</v>
      </c>
      <c r="H69" s="107"/>
      <c r="I69" s="107"/>
      <c r="K69" s="107"/>
      <c r="L69" s="103"/>
      <c r="M69" s="103"/>
      <c r="N69" s="103"/>
      <c r="R69" s="56"/>
      <c r="S69" s="48"/>
      <c r="T69" s="49"/>
      <c r="U69" s="49"/>
      <c r="Y69" s="63"/>
      <c r="Z69" s="63"/>
    </row>
    <row r="70" spans="1:26" s="47" customFormat="1" ht="21" customHeight="1">
      <c r="A70" s="102"/>
      <c r="B70" s="194"/>
      <c r="E70" s="105"/>
      <c r="F70" s="105"/>
      <c r="H70" s="107"/>
      <c r="I70" s="107"/>
      <c r="J70" s="108"/>
      <c r="K70" s="107"/>
      <c r="R70" s="56"/>
      <c r="S70" s="48"/>
      <c r="T70" s="49"/>
      <c r="U70" s="49"/>
      <c r="Y70" s="63"/>
      <c r="Z70" s="63"/>
    </row>
    <row r="71" spans="1:26" s="47" customFormat="1" ht="21" customHeight="1">
      <c r="A71" s="46"/>
      <c r="B71" s="194"/>
      <c r="E71" s="105"/>
      <c r="F71" s="105"/>
      <c r="H71" s="107"/>
      <c r="I71" s="107"/>
      <c r="J71" s="108"/>
      <c r="K71" s="107"/>
      <c r="R71" s="56"/>
      <c r="S71" s="48"/>
      <c r="T71" s="49"/>
      <c r="U71" s="49"/>
      <c r="Y71" s="63"/>
      <c r="Z71" s="63"/>
    </row>
    <row r="72" spans="1:26" s="47" customFormat="1" ht="21" customHeight="1">
      <c r="A72" s="46"/>
      <c r="B72" s="194"/>
      <c r="D72" s="370"/>
      <c r="E72" s="370"/>
      <c r="F72" s="370"/>
      <c r="G72" s="370"/>
      <c r="H72" s="370"/>
      <c r="I72" s="370"/>
      <c r="J72" s="108"/>
      <c r="K72" s="107"/>
      <c r="R72" s="56"/>
      <c r="S72" s="48"/>
      <c r="T72" s="49"/>
      <c r="U72" s="49"/>
      <c r="Y72" s="63"/>
      <c r="Z72" s="63"/>
    </row>
    <row r="73" spans="1:26" s="47" customFormat="1" ht="21" customHeight="1">
      <c r="A73" s="102" t="s">
        <v>21</v>
      </c>
      <c r="B73" s="102" t="s">
        <v>400</v>
      </c>
      <c r="C73" s="274"/>
      <c r="D73" s="222" t="s">
        <v>191</v>
      </c>
      <c r="E73" s="225">
        <v>110</v>
      </c>
      <c r="F73" s="341" t="s">
        <v>4</v>
      </c>
      <c r="G73" s="278"/>
      <c r="H73" s="275"/>
      <c r="I73" s="102"/>
      <c r="J73" s="102"/>
      <c r="K73" s="106"/>
      <c r="L73" s="33"/>
      <c r="M73" s="33"/>
      <c r="N73" s="33"/>
      <c r="O73" s="32"/>
      <c r="P73" s="32"/>
      <c r="Q73" s="51"/>
      <c r="R73" s="56"/>
      <c r="S73" s="48"/>
      <c r="T73" s="49"/>
      <c r="U73" s="49"/>
      <c r="Y73" s="63"/>
      <c r="Z73" s="63"/>
    </row>
    <row r="74" spans="1:26" s="47" customFormat="1" ht="21" customHeight="1">
      <c r="A74" s="102" t="s">
        <v>34</v>
      </c>
      <c r="B74" s="102" t="s">
        <v>401</v>
      </c>
      <c r="C74" s="102"/>
      <c r="D74" s="222" t="s">
        <v>190</v>
      </c>
      <c r="E74" s="225">
        <v>7</v>
      </c>
      <c r="F74" s="100" t="s">
        <v>4</v>
      </c>
      <c r="G74" s="278"/>
      <c r="H74" s="275"/>
      <c r="I74" s="102"/>
      <c r="J74" s="102"/>
      <c r="K74" s="106"/>
      <c r="L74" s="33"/>
      <c r="M74" s="33"/>
      <c r="N74" s="33"/>
      <c r="O74" s="32"/>
      <c r="P74" s="34"/>
      <c r="Q74" s="32"/>
      <c r="R74" s="56"/>
      <c r="S74" s="48"/>
      <c r="T74" s="49"/>
      <c r="U74" s="49"/>
      <c r="Y74" s="63"/>
      <c r="Z74" s="63"/>
    </row>
    <row r="75" spans="1:26" s="47" customFormat="1" ht="21" customHeight="1">
      <c r="A75" s="102"/>
      <c r="B75" s="109"/>
      <c r="C75" s="102"/>
      <c r="D75" s="222" t="s">
        <v>192</v>
      </c>
      <c r="E75" s="225">
        <v>11.59</v>
      </c>
      <c r="F75" s="100" t="s">
        <v>2</v>
      </c>
      <c r="G75" s="278"/>
      <c r="H75" s="275"/>
      <c r="I75" s="102"/>
      <c r="J75" s="102"/>
      <c r="K75" s="106"/>
      <c r="L75" s="33"/>
      <c r="M75" s="33"/>
      <c r="N75" s="33"/>
      <c r="O75" s="32"/>
      <c r="P75" s="34"/>
      <c r="Q75" s="32"/>
      <c r="R75" s="56"/>
      <c r="S75" s="48"/>
      <c r="T75" s="49"/>
      <c r="U75" s="49"/>
      <c r="Y75" s="63"/>
      <c r="Z75" s="63"/>
    </row>
    <row r="76" spans="1:26" s="47" customFormat="1" ht="21" customHeight="1">
      <c r="A76" s="102"/>
      <c r="B76" s="109"/>
      <c r="C76" s="102"/>
      <c r="D76" s="222" t="s">
        <v>35</v>
      </c>
      <c r="E76" s="223">
        <f>ROUND(E73*E74,2)+E75</f>
        <v>781.59</v>
      </c>
      <c r="F76" s="100" t="s">
        <v>2</v>
      </c>
      <c r="G76" s="279"/>
      <c r="H76" s="277"/>
      <c r="I76" s="276"/>
      <c r="J76" s="102"/>
      <c r="K76" s="106"/>
      <c r="L76" s="33"/>
      <c r="M76" s="33"/>
      <c r="N76" s="33"/>
      <c r="O76" s="32"/>
      <c r="P76" s="34"/>
      <c r="Q76" s="32"/>
      <c r="R76" s="56"/>
      <c r="S76" s="48"/>
      <c r="T76" s="49"/>
      <c r="U76" s="49"/>
      <c r="Y76" s="63"/>
      <c r="Z76" s="63"/>
    </row>
    <row r="77" spans="1:26" s="47" customFormat="1" ht="21" customHeight="1">
      <c r="A77" s="371" t="s">
        <v>6</v>
      </c>
      <c r="B77" s="373" t="s">
        <v>1</v>
      </c>
      <c r="C77" s="375" t="s">
        <v>22</v>
      </c>
      <c r="D77" s="376" t="s">
        <v>7</v>
      </c>
      <c r="E77" s="366" t="s">
        <v>86</v>
      </c>
      <c r="F77" s="366" t="s">
        <v>84</v>
      </c>
      <c r="G77" s="377" t="s">
        <v>23</v>
      </c>
      <c r="H77" s="377" t="s">
        <v>86</v>
      </c>
      <c r="I77" s="377" t="s">
        <v>84</v>
      </c>
      <c r="J77" s="366" t="s">
        <v>19</v>
      </c>
      <c r="K77" s="368" t="s">
        <v>342</v>
      </c>
      <c r="L77" s="33"/>
      <c r="M77" s="33"/>
      <c r="N77" s="33"/>
      <c r="O77" s="32"/>
      <c r="P77" s="34"/>
      <c r="Q77" s="32"/>
      <c r="R77" s="56"/>
      <c r="S77" s="48"/>
      <c r="T77" s="49"/>
      <c r="U77" s="49"/>
      <c r="Y77" s="63"/>
      <c r="Z77" s="63"/>
    </row>
    <row r="78" spans="1:26" s="47" customFormat="1" ht="21" customHeight="1">
      <c r="A78" s="372"/>
      <c r="B78" s="374"/>
      <c r="C78" s="375"/>
      <c r="D78" s="376"/>
      <c r="E78" s="367"/>
      <c r="F78" s="367"/>
      <c r="G78" s="367"/>
      <c r="H78" s="367"/>
      <c r="I78" s="367"/>
      <c r="J78" s="367"/>
      <c r="K78" s="369"/>
      <c r="L78" s="33"/>
      <c r="M78" s="33"/>
      <c r="N78" s="33"/>
      <c r="O78" s="32"/>
      <c r="P78" s="34"/>
      <c r="Q78" s="32"/>
      <c r="R78" s="56"/>
      <c r="S78" s="48"/>
      <c r="T78" s="49"/>
      <c r="U78" s="49"/>
      <c r="Y78" s="63"/>
      <c r="Z78" s="63"/>
    </row>
    <row r="79" spans="1:26" s="47" customFormat="1" ht="21" customHeight="1">
      <c r="A79" s="110"/>
      <c r="B79" s="111"/>
      <c r="C79" s="112"/>
      <c r="D79" s="113"/>
      <c r="E79" s="114"/>
      <c r="F79" s="114"/>
      <c r="G79" s="114"/>
      <c r="H79" s="114"/>
      <c r="I79" s="114"/>
      <c r="J79" s="115"/>
      <c r="K79" s="261"/>
      <c r="L79" s="33"/>
      <c r="M79" s="33"/>
      <c r="N79" s="33"/>
      <c r="O79" s="32"/>
      <c r="P79" s="34"/>
      <c r="Q79" s="32"/>
      <c r="R79" s="56"/>
      <c r="S79" s="48"/>
      <c r="T79" s="49"/>
      <c r="U79" s="49"/>
      <c r="Y79" s="63"/>
      <c r="Z79" s="63"/>
    </row>
    <row r="80" spans="1:26" s="47" customFormat="1" ht="21" customHeight="1">
      <c r="A80" s="72">
        <v>1</v>
      </c>
      <c r="B80" s="77" t="str">
        <f>VLOOKUP($A80,$A$16:$J$63,2,FALSE)</f>
        <v>SERVIÇOS INICIAIS</v>
      </c>
      <c r="C80" s="93"/>
      <c r="D80" s="82"/>
      <c r="E80" s="83"/>
      <c r="F80" s="83"/>
      <c r="G80" s="83"/>
      <c r="H80" s="82"/>
      <c r="I80" s="82"/>
      <c r="J80" s="83"/>
      <c r="K80" s="262"/>
      <c r="L80" s="33"/>
      <c r="M80" s="33"/>
      <c r="N80" s="33"/>
      <c r="O80" s="32"/>
      <c r="P80" s="34"/>
      <c r="Q80" s="32"/>
      <c r="R80" s="56"/>
      <c r="S80" s="48"/>
      <c r="T80" s="49"/>
      <c r="U80" s="49"/>
      <c r="Y80" s="63"/>
      <c r="Z80" s="63"/>
    </row>
    <row r="81" spans="1:26" s="47" customFormat="1" ht="21" customHeight="1">
      <c r="A81" s="74" t="s">
        <v>8</v>
      </c>
      <c r="B81" s="116" t="str">
        <f>VLOOKUP($A81,$A$16:$J$63,2,FALSE)</f>
        <v>IMPLANTAÇÃO DE PLACA DE OBRA (1,20X2,40M)</v>
      </c>
      <c r="C81" s="117" t="str">
        <f>VLOOKUP($A81,$A$16:$J$63,3,FALSE)</f>
        <v>unid</v>
      </c>
      <c r="D81" s="86">
        <v>1</v>
      </c>
      <c r="E81" s="87">
        <f>VLOOKUP($A81,$A$16:$J$63,5,FALSE)</f>
        <v>2327.1999999999998</v>
      </c>
      <c r="F81" s="87">
        <f>VLOOKUP($A81,$A$16:$J$63,6,FALSE)</f>
        <v>581.79999999999995</v>
      </c>
      <c r="G81" s="87">
        <f>VLOOKUP($A81,$A$16:$J$63,7,FALSE)</f>
        <v>2909</v>
      </c>
      <c r="H81" s="88">
        <f>J81-I81</f>
        <v>2327.1999999999998</v>
      </c>
      <c r="I81" s="88">
        <f>TRUNC(D81*F81,2)</f>
        <v>581.79999999999995</v>
      </c>
      <c r="J81" s="87">
        <f>TRUNC(D81*G81,2)</f>
        <v>2909</v>
      </c>
      <c r="K81" s="263" t="str">
        <f>VLOOKUP($A81,$A$16:$K$63,11,FALSE)</f>
        <v>CPU 01</v>
      </c>
      <c r="L81" s="33"/>
      <c r="M81" s="33"/>
      <c r="N81" s="33"/>
      <c r="O81" s="32"/>
      <c r="P81" s="34"/>
      <c r="Q81" s="32"/>
      <c r="R81" s="56"/>
      <c r="S81" s="48"/>
      <c r="T81" s="49"/>
      <c r="U81" s="49"/>
      <c r="Y81" s="63"/>
      <c r="Z81" s="63"/>
    </row>
    <row r="82" spans="1:26" s="47" customFormat="1" ht="21" customHeight="1">
      <c r="A82" s="74" t="s">
        <v>9</v>
      </c>
      <c r="B82" s="116" t="str">
        <f>VLOOKUP($A82,$A$16:$J$63,2,FALSE)</f>
        <v>SERVIÇOS TOPOGRÁFICOS PARA PAVIMENTAÇÃO</v>
      </c>
      <c r="C82" s="117" t="str">
        <f>VLOOKUP($A82,$A$16:$J$63,3,FALSE)</f>
        <v>m²</v>
      </c>
      <c r="D82" s="95">
        <f>E76</f>
        <v>781.59</v>
      </c>
      <c r="E82" s="87">
        <f>VLOOKUP($A82,$A$16:$J$63,5,FALSE)</f>
        <v>0.15000000000000002</v>
      </c>
      <c r="F82" s="87">
        <f>VLOOKUP($A82,$A$16:$J$63,6,FALSE)</f>
        <v>0.6</v>
      </c>
      <c r="G82" s="87">
        <f>VLOOKUP($A82,$A$16:$J$63,7,FALSE)</f>
        <v>0.75</v>
      </c>
      <c r="H82" s="88">
        <f>J82-I82</f>
        <v>117.24000000000007</v>
      </c>
      <c r="I82" s="88">
        <f>TRUNC(D82*F82,2)</f>
        <v>468.95</v>
      </c>
      <c r="J82" s="87">
        <f>TRUNC(D82*G82,2)</f>
        <v>586.19000000000005</v>
      </c>
      <c r="K82" s="263" t="str">
        <f>VLOOKUP($A82,$A$16:$K$63,11,FALSE)</f>
        <v>CPU 02</v>
      </c>
      <c r="L82" s="33"/>
      <c r="M82" s="33"/>
      <c r="N82" s="33"/>
      <c r="O82" s="32"/>
      <c r="P82" s="34"/>
      <c r="Q82" s="32"/>
      <c r="R82" s="56"/>
      <c r="S82" s="48"/>
      <c r="T82" s="49"/>
      <c r="U82" s="49"/>
      <c r="Y82" s="63"/>
      <c r="Z82" s="63"/>
    </row>
    <row r="83" spans="1:26" s="47" customFormat="1" ht="21" customHeight="1">
      <c r="A83" s="74" t="s">
        <v>10</v>
      </c>
      <c r="B83" s="116" t="str">
        <f>VLOOKUP($A83,$A$16:$J$63,2,FALSE)</f>
        <v>MOBILIZAÇÃO E DESMOBILIZAÇÃO DE EQUIPAMENTOS</v>
      </c>
      <c r="C83" s="117" t="str">
        <f>VLOOKUP($A83,$A$16:$J$63,3,FALSE)</f>
        <v>unid</v>
      </c>
      <c r="D83" s="86">
        <v>1</v>
      </c>
      <c r="E83" s="87">
        <f>VLOOKUP($A83,$A$16:$J$63,5,FALSE)</f>
        <v>2637.3999999999996</v>
      </c>
      <c r="F83" s="87">
        <f>VLOOKUP($A83,$A$16:$J$63,6,FALSE)</f>
        <v>659.34</v>
      </c>
      <c r="G83" s="87">
        <f>VLOOKUP($A83,$A$16:$J$63,7,FALSE)</f>
        <v>3296.74</v>
      </c>
      <c r="H83" s="88">
        <f>J83-I83</f>
        <v>2637.3999999999996</v>
      </c>
      <c r="I83" s="88">
        <f>TRUNC(D83*F83,2)</f>
        <v>659.34</v>
      </c>
      <c r="J83" s="87">
        <f>TRUNC(D83*G83,2)</f>
        <v>3296.74</v>
      </c>
      <c r="K83" s="263" t="str">
        <f>VLOOKUP($A83,$A$16:$K$63,11,FALSE)</f>
        <v>CPU 03</v>
      </c>
      <c r="L83" s="33"/>
      <c r="M83" s="33"/>
      <c r="N83" s="33"/>
      <c r="O83" s="32"/>
      <c r="P83" s="34"/>
      <c r="Q83" s="32"/>
      <c r="R83" s="56"/>
      <c r="S83" s="48"/>
      <c r="T83" s="49"/>
      <c r="U83" s="49"/>
      <c r="Y83" s="63"/>
      <c r="Z83" s="63"/>
    </row>
    <row r="84" spans="1:26" s="47" customFormat="1" ht="21" customHeight="1">
      <c r="A84" s="74" t="s">
        <v>11</v>
      </c>
      <c r="B84" s="116" t="str">
        <f>VLOOKUP($A84,$A$16:$J$63,2,FALSE)</f>
        <v>ADMINISTRAÇÃO LOCAL DE OBRA</v>
      </c>
      <c r="C84" s="117" t="str">
        <f>VLOOKUP($A84,$A$16:$J$63,3,FALSE)</f>
        <v>mês</v>
      </c>
      <c r="D84" s="86">
        <v>1</v>
      </c>
      <c r="E84" s="87">
        <f>VLOOKUP($A84,$A$16:$J$63,5,FALSE)</f>
        <v>2759.8999999999996</v>
      </c>
      <c r="F84" s="87">
        <f>VLOOKUP($A84,$A$16:$J$63,6,FALSE)</f>
        <v>11039.56</v>
      </c>
      <c r="G84" s="87">
        <f>VLOOKUP($A84,$A$16:$J$63,7,FALSE)</f>
        <v>13799.46</v>
      </c>
      <c r="H84" s="88">
        <f>J84-I84</f>
        <v>2759.8999999999996</v>
      </c>
      <c r="I84" s="88">
        <f>TRUNC(D84*F84,2)</f>
        <v>11039.56</v>
      </c>
      <c r="J84" s="87">
        <f>TRUNC(D84*G84,2)</f>
        <v>13799.46</v>
      </c>
      <c r="K84" s="263" t="str">
        <f>VLOOKUP($A84,$A$16:$K$63,11,FALSE)</f>
        <v>CPU 04</v>
      </c>
      <c r="L84" s="33"/>
      <c r="M84" s="33"/>
      <c r="N84" s="33"/>
      <c r="O84" s="32"/>
      <c r="P84" s="34"/>
      <c r="Q84" s="32"/>
      <c r="R84" s="56"/>
      <c r="S84" s="48"/>
      <c r="T84" s="49"/>
      <c r="U84" s="49"/>
      <c r="Y84" s="63"/>
      <c r="Z84" s="63"/>
    </row>
    <row r="85" spans="1:26" s="47" customFormat="1" ht="21" customHeight="1">
      <c r="A85" s="76" t="str">
        <f>CONCATENATE("TOTAL DO ITEM ",A80," - ",B80)</f>
        <v>TOTAL DO ITEM 1 - SERVIÇOS INICIAIS</v>
      </c>
      <c r="B85" s="77"/>
      <c r="C85" s="100"/>
      <c r="D85" s="100"/>
      <c r="E85" s="101"/>
      <c r="F85" s="101"/>
      <c r="G85" s="101"/>
      <c r="H85" s="91">
        <f>SUM(H81:H84)</f>
        <v>7841.74</v>
      </c>
      <c r="I85" s="91">
        <f>SUM(I81:I84)</f>
        <v>12749.65</v>
      </c>
      <c r="J85" s="92">
        <f>SUM(J81:J84)</f>
        <v>20591.39</v>
      </c>
      <c r="K85" s="264"/>
      <c r="L85" s="33"/>
      <c r="M85" s="33"/>
      <c r="N85" s="33"/>
      <c r="O85" s="32"/>
      <c r="P85" s="34"/>
      <c r="Q85" s="32"/>
      <c r="R85" s="56"/>
      <c r="S85" s="48"/>
      <c r="T85" s="49"/>
      <c r="U85" s="49"/>
      <c r="Y85" s="63"/>
      <c r="Z85" s="63"/>
    </row>
    <row r="86" spans="1:26" s="47" customFormat="1" ht="21" customHeight="1">
      <c r="A86" s="78">
        <v>2</v>
      </c>
      <c r="B86" s="77" t="str">
        <f>VLOOKUP($A86,$A$16:$J$63,2,FALSE)</f>
        <v>TERRAPLENAGEM</v>
      </c>
      <c r="C86" s="93"/>
      <c r="D86" s="82"/>
      <c r="E86" s="90"/>
      <c r="F86" s="90"/>
      <c r="G86" s="90"/>
      <c r="H86" s="90"/>
      <c r="I86" s="90"/>
      <c r="J86" s="94"/>
      <c r="K86" s="265"/>
      <c r="L86" s="33"/>
      <c r="M86" s="33"/>
      <c r="N86" s="33"/>
      <c r="O86" s="32"/>
      <c r="P86" s="34"/>
      <c r="Q86" s="32"/>
      <c r="R86" s="56"/>
      <c r="S86" s="48"/>
      <c r="T86" s="49"/>
      <c r="U86" s="49"/>
      <c r="Y86" s="63"/>
      <c r="Z86" s="63"/>
    </row>
    <row r="87" spans="1:26" s="47" customFormat="1" ht="30">
      <c r="A87" s="74" t="s">
        <v>13</v>
      </c>
      <c r="B87" s="116" t="str">
        <f>VLOOKUP($A87,$A$16:$J$63,2,FALSE)</f>
        <v>ESCAVAÇÃO HORIZONTAL, INCLUINDO CARGA, DESCARGA E TRANSPORTE EM SOLO DE 1A CATEGORIA COM TRATOR DE ESTEIRAS (125HP/LÂMINA: 2,70M3) E CAMINHÃO BASCULANTE DE 10M3, DMT ATÉ 200M. AF_07/2020</v>
      </c>
      <c r="C87" s="117" t="str">
        <f>VLOOKUP($A87,$A$16:$J$63,3,FALSE)</f>
        <v>m³</v>
      </c>
      <c r="D87" s="95">
        <v>170.04</v>
      </c>
      <c r="E87" s="87">
        <f>VLOOKUP($A87,$A$16:$J$63,5,FALSE)</f>
        <v>11.85</v>
      </c>
      <c r="F87" s="87">
        <f>VLOOKUP($A87,$A$16:$J$63,6,FALSE)</f>
        <v>2.25</v>
      </c>
      <c r="G87" s="87">
        <f>VLOOKUP($A87,$A$16:$J$63,7,FALSE)</f>
        <v>14.1</v>
      </c>
      <c r="H87" s="88">
        <f t="shared" ref="H87" si="28">J87-I87</f>
        <v>2014.97</v>
      </c>
      <c r="I87" s="88">
        <f>TRUNC(D87*F87,2)</f>
        <v>382.59</v>
      </c>
      <c r="J87" s="87">
        <f>TRUNC(D87*G87,2)</f>
        <v>2397.56</v>
      </c>
      <c r="K87" s="263">
        <f>VLOOKUP($A87,$A$16:$K$63,11,FALSE)</f>
        <v>101138</v>
      </c>
      <c r="L87" s="33"/>
      <c r="M87" s="33"/>
      <c r="N87" s="33"/>
      <c r="O87" s="32"/>
      <c r="P87" s="34"/>
      <c r="Q87" s="32"/>
      <c r="R87" s="56"/>
      <c r="S87" s="48"/>
      <c r="T87" s="49"/>
      <c r="U87" s="49"/>
      <c r="Y87" s="63"/>
      <c r="Z87" s="63"/>
    </row>
    <row r="88" spans="1:26" s="47" customFormat="1" ht="30">
      <c r="A88" s="74" t="s">
        <v>14</v>
      </c>
      <c r="B88" s="116" t="str">
        <f>VLOOKUP($A88,$A$16:$J$63,2,FALSE)</f>
        <v>TRANSPORTE COM CAMINHÃO BASCULANTE DE 10 M³, EM VIA URBANA EM REVESTIMENTO PRIMÁRIO, DMT 1,0 KM (UNIDADE: M3XKM). AF_07/2020</v>
      </c>
      <c r="C88" s="117" t="str">
        <f>VLOOKUP($A88,$A$16:$J$63,3,FALSE)</f>
        <v>m³ x km</v>
      </c>
      <c r="D88" s="86">
        <v>212.55</v>
      </c>
      <c r="E88" s="87">
        <f>VLOOKUP($A88,$A$16:$J$63,5,FALSE)</f>
        <v>2</v>
      </c>
      <c r="F88" s="87">
        <f>VLOOKUP($A88,$A$16:$J$63,6,FALSE)</f>
        <v>0.17</v>
      </c>
      <c r="G88" s="87">
        <f>VLOOKUP($A88,$A$16:$J$63,7,FALSE)</f>
        <v>2.17</v>
      </c>
      <c r="H88" s="88">
        <f t="shared" ref="H88:H93" si="29">J88-I88</f>
        <v>425.1</v>
      </c>
      <c r="I88" s="88">
        <f>TRUNC(D88*F88,2)</f>
        <v>36.130000000000003</v>
      </c>
      <c r="J88" s="87">
        <f>TRUNC(D88*G88,2)</f>
        <v>461.23</v>
      </c>
      <c r="K88" s="263">
        <f>VLOOKUP($A88,$A$16:$K$63,11,FALSE)</f>
        <v>93589</v>
      </c>
      <c r="L88" s="33"/>
      <c r="M88" s="33"/>
      <c r="N88" s="33"/>
      <c r="O88" s="43">
        <v>13.3</v>
      </c>
      <c r="P88" s="34"/>
      <c r="Q88" s="32"/>
      <c r="R88" s="56"/>
      <c r="S88" s="48"/>
      <c r="T88" s="49"/>
      <c r="U88" s="49"/>
      <c r="Y88" s="63"/>
      <c r="Z88" s="63"/>
    </row>
    <row r="89" spans="1:26" s="47" customFormat="1" ht="24" customHeight="1">
      <c r="A89" s="74" t="s">
        <v>15</v>
      </c>
      <c r="B89" s="116" t="str">
        <f>VLOOKUP($A89,$A$16:$J$63,2,FALSE)</f>
        <v>REMOÇÃO DE SOLOS MOLES PARA ATÉ 600 MCS</v>
      </c>
      <c r="C89" s="117" t="str">
        <f>VLOOKUP($A89,$A$16:$J$63,3,FALSE)</f>
        <v>m³</v>
      </c>
      <c r="D89" s="86">
        <v>30</v>
      </c>
      <c r="E89" s="87">
        <f>VLOOKUP($A89,$A$16:$J$63,5,FALSE)</f>
        <v>10.86</v>
      </c>
      <c r="F89" s="87">
        <f>VLOOKUP($A89,$A$16:$J$63,6,FALSE)</f>
        <v>2.06</v>
      </c>
      <c r="G89" s="87">
        <f>VLOOKUP($A89,$A$16:$J$63,7,FALSE)</f>
        <v>12.92</v>
      </c>
      <c r="H89" s="88">
        <f t="shared" ref="H89:H92" si="30">J89-I89</f>
        <v>325.8</v>
      </c>
      <c r="I89" s="88">
        <f t="shared" ref="I89:I92" si="31">TRUNC(D89*F89,2)</f>
        <v>61.8</v>
      </c>
      <c r="J89" s="87">
        <f t="shared" ref="J89:J92" si="32">TRUNC(D89*G89,2)</f>
        <v>387.6</v>
      </c>
      <c r="K89" s="263" t="str">
        <f>VLOOKUP($A89,$A$16:$K$63,11,FALSE)</f>
        <v>sicro 5502927</v>
      </c>
      <c r="L89" s="33"/>
      <c r="M89" s="33"/>
      <c r="N89" s="33"/>
      <c r="P89" s="34"/>
      <c r="Q89" s="32"/>
      <c r="R89" s="56"/>
      <c r="S89" s="48"/>
      <c r="T89" s="49"/>
      <c r="U89" s="49"/>
      <c r="Y89" s="63"/>
      <c r="Z89" s="63"/>
    </row>
    <row r="90" spans="1:26" s="47" customFormat="1" ht="21" customHeight="1">
      <c r="A90" s="74" t="s">
        <v>16</v>
      </c>
      <c r="B90" s="116" t="str">
        <f>VLOOKUP($A90,$A$16:$J$63,2,FALSE)</f>
        <v>AQUISIÇÃO DE ARGILA PROVENIENTE DE JAZIDA</v>
      </c>
      <c r="C90" s="117" t="str">
        <f>VLOOKUP($A90,$A$16:$J$63,3,FALSE)</f>
        <v>m³</v>
      </c>
      <c r="D90" s="86">
        <v>30</v>
      </c>
      <c r="E90" s="87">
        <f>VLOOKUP($A90,$A$16:$J$63,5,FALSE)</f>
        <v>19.23</v>
      </c>
      <c r="F90" s="87">
        <f>VLOOKUP($A90,$A$16:$J$63,6,FALSE)</f>
        <v>3.66</v>
      </c>
      <c r="G90" s="87">
        <f>VLOOKUP($A90,$A$16:$J$63,7,FALSE)</f>
        <v>22.89</v>
      </c>
      <c r="H90" s="88">
        <f t="shared" si="30"/>
        <v>576.90000000000009</v>
      </c>
      <c r="I90" s="88">
        <f t="shared" si="31"/>
        <v>109.8</v>
      </c>
      <c r="J90" s="87">
        <f t="shared" si="32"/>
        <v>686.7</v>
      </c>
      <c r="K90" s="263">
        <f>VLOOKUP($A90,$A$16:$K$63,11,FALSE)</f>
        <v>6077</v>
      </c>
      <c r="L90" s="33"/>
      <c r="M90" s="33"/>
      <c r="N90" s="33"/>
      <c r="O90" s="64"/>
      <c r="P90" s="34"/>
      <c r="Q90" s="32"/>
      <c r="R90" s="56"/>
      <c r="S90" s="48"/>
      <c r="T90" s="49"/>
      <c r="U90" s="49"/>
      <c r="Y90" s="63"/>
      <c r="Z90" s="63"/>
    </row>
    <row r="91" spans="1:26" s="47" customFormat="1" ht="30">
      <c r="A91" s="74" t="s">
        <v>17</v>
      </c>
      <c r="B91" s="116" t="str">
        <f>VLOOKUP($A91,$A$16:$J$63,2,FALSE)</f>
        <v>TRANSPORTE COM CAMINHÃO BASCULANTE DE 10 M³, EM VIA URBANA EM REVESTIMENTO PRIMÁRIO, DMT 15,40 KM (UNIDADE: M3XKM). AF_07/2020</v>
      </c>
      <c r="C91" s="117" t="str">
        <f>VLOOKUP($A91,$A$16:$J$63,3,FALSE)</f>
        <v>m³ x km</v>
      </c>
      <c r="D91" s="86">
        <f>ROUND(D90*1.25*$O$91,2)</f>
        <v>577.5</v>
      </c>
      <c r="E91" s="87">
        <f>VLOOKUP($A91,$A$16:$J$63,5,FALSE)</f>
        <v>2</v>
      </c>
      <c r="F91" s="87">
        <f>VLOOKUP($A91,$A$16:$J$63,6,FALSE)</f>
        <v>0.17</v>
      </c>
      <c r="G91" s="87">
        <f>VLOOKUP($A91,$A$16:$J$63,7,FALSE)</f>
        <v>2.17</v>
      </c>
      <c r="H91" s="88">
        <f t="shared" ref="H91" si="33">J91-I91</f>
        <v>1155</v>
      </c>
      <c r="I91" s="88">
        <f t="shared" ref="I91" si="34">TRUNC(D91*F91,2)</f>
        <v>98.17</v>
      </c>
      <c r="J91" s="87">
        <f t="shared" ref="J91" si="35">TRUNC(D91*G91,2)</f>
        <v>1253.17</v>
      </c>
      <c r="K91" s="263">
        <f>VLOOKUP($A91,$A$16:$K$63,11,FALSE)</f>
        <v>93589</v>
      </c>
      <c r="L91" s="33"/>
      <c r="M91" s="33"/>
      <c r="N91" s="33"/>
      <c r="O91" s="43">
        <v>15.4</v>
      </c>
      <c r="P91" s="34"/>
      <c r="Q91" s="32"/>
      <c r="R91" s="56"/>
      <c r="S91" s="48"/>
      <c r="T91" s="49"/>
      <c r="U91" s="49"/>
      <c r="Y91" s="63"/>
      <c r="Z91" s="63"/>
    </row>
    <row r="92" spans="1:26" s="47" customFormat="1" ht="30">
      <c r="A92" s="74" t="s">
        <v>18</v>
      </c>
      <c r="B92" s="116" t="str">
        <f>VLOOKUP($A92,$A$16:$J$63,2,FALSE)</f>
        <v>EXECUÇÃO E COMPACTAÇÃO DE ATERRO COM SOLO PREDOMINANTEMENTE ARGILOSO - EXCLUSIVE SOLO, ESCAVAÇÃO, CARGA E TRANSPORTE. AF_11/2019</v>
      </c>
      <c r="C92" s="117" t="str">
        <f>VLOOKUP($A92,$A$16:$J$63,3,FALSE)</f>
        <v>m³</v>
      </c>
      <c r="D92" s="86">
        <v>30</v>
      </c>
      <c r="E92" s="87">
        <f>VLOOKUP($A92,$A$16:$J$63,5,FALSE)</f>
        <v>10.329999999999998</v>
      </c>
      <c r="F92" s="87">
        <f>VLOOKUP($A92,$A$16:$J$63,6,FALSE)</f>
        <v>1.96</v>
      </c>
      <c r="G92" s="87">
        <f>VLOOKUP($A92,$A$16:$J$63,7,FALSE)</f>
        <v>12.29</v>
      </c>
      <c r="H92" s="88">
        <f t="shared" si="30"/>
        <v>309.89999999999998</v>
      </c>
      <c r="I92" s="88">
        <f t="shared" si="31"/>
        <v>58.8</v>
      </c>
      <c r="J92" s="87">
        <f t="shared" si="32"/>
        <v>368.7</v>
      </c>
      <c r="K92" s="263">
        <f>VLOOKUP($A92,$A$16:$K$63,11,FALSE)</f>
        <v>96385</v>
      </c>
      <c r="L92" s="33"/>
      <c r="M92" s="33"/>
      <c r="N92" s="33"/>
      <c r="P92" s="34"/>
      <c r="Q92" s="32"/>
      <c r="R92" s="56"/>
      <c r="S92" s="48"/>
      <c r="T92" s="49"/>
      <c r="U92" s="49"/>
      <c r="Y92" s="63"/>
      <c r="Z92" s="63"/>
    </row>
    <row r="93" spans="1:26" s="47" customFormat="1" ht="26.25" customHeight="1">
      <c r="A93" s="74" t="s">
        <v>368</v>
      </c>
      <c r="B93" s="116" t="str">
        <f>VLOOKUP($A93,$A$16:$J$63,2,FALSE)</f>
        <v>REGULARIZAÇÃO E COMPACTAÇÃO DE SUBLEITO DE SOLO PREDOMINANTEMENTE ARGILOSO. AF_11/2019</v>
      </c>
      <c r="C93" s="117" t="str">
        <f>VLOOKUP($A93,$A$16:$J$63,3,FALSE)</f>
        <v>m²</v>
      </c>
      <c r="D93" s="86">
        <v>1001.59</v>
      </c>
      <c r="E93" s="87">
        <f>VLOOKUP($A93,$A$16:$J$63,5,FALSE)</f>
        <v>2.2200000000000002</v>
      </c>
      <c r="F93" s="87">
        <f>VLOOKUP($A93,$A$16:$J$63,6,FALSE)</f>
        <v>0.42</v>
      </c>
      <c r="G93" s="87">
        <f>VLOOKUP($A93,$A$16:$J$63,7,FALSE)</f>
        <v>2.64</v>
      </c>
      <c r="H93" s="88">
        <f t="shared" si="29"/>
        <v>2223.5300000000002</v>
      </c>
      <c r="I93" s="88">
        <f t="shared" ref="I93" si="36">TRUNC(D93*F93,2)</f>
        <v>420.66</v>
      </c>
      <c r="J93" s="87">
        <f t="shared" ref="J93" si="37">TRUNC(D93*G93,2)</f>
        <v>2644.19</v>
      </c>
      <c r="K93" s="263">
        <f>VLOOKUP($A93,$A$16:$K$63,11,FALSE)</f>
        <v>100576</v>
      </c>
      <c r="L93" s="33"/>
      <c r="M93" s="33"/>
      <c r="N93" s="33"/>
      <c r="O93" s="64"/>
      <c r="P93" s="34"/>
      <c r="Q93" s="32"/>
      <c r="R93" s="56"/>
      <c r="S93" s="48"/>
      <c r="T93" s="49"/>
      <c r="U93" s="49"/>
      <c r="Y93" s="63"/>
      <c r="Z93" s="63"/>
    </row>
    <row r="94" spans="1:26" s="47" customFormat="1" ht="21" customHeight="1">
      <c r="A94" s="76" t="str">
        <f>CONCATENATE("TOTAL DO ITEM ",A86," - ",B86)</f>
        <v>TOTAL DO ITEM 2 - TERRAPLENAGEM</v>
      </c>
      <c r="B94" s="118"/>
      <c r="C94" s="96"/>
      <c r="D94" s="96"/>
      <c r="E94" s="97"/>
      <c r="F94" s="97"/>
      <c r="G94" s="97"/>
      <c r="H94" s="98">
        <f>SUM(H87:H93)</f>
        <v>7031.2000000000007</v>
      </c>
      <c r="I94" s="98">
        <f>SUM(I87:I93)</f>
        <v>1167.9499999999998</v>
      </c>
      <c r="J94" s="98">
        <f>SUM(J87:J93)</f>
        <v>8199.15</v>
      </c>
      <c r="K94" s="266"/>
      <c r="L94" s="33"/>
      <c r="M94" s="33"/>
      <c r="N94" s="33"/>
      <c r="O94" s="34"/>
      <c r="P94" s="34"/>
      <c r="Q94" s="32"/>
      <c r="R94" s="56"/>
      <c r="S94" s="48"/>
      <c r="T94" s="49"/>
      <c r="U94" s="49"/>
      <c r="Y94" s="63"/>
      <c r="Z94" s="63"/>
    </row>
    <row r="95" spans="1:26" s="47" customFormat="1" ht="21" customHeight="1">
      <c r="A95" s="78">
        <v>3</v>
      </c>
      <c r="B95" s="77" t="str">
        <f>VLOOKUP($A95,$A$16:$J$63,2,FALSE)</f>
        <v>DRENAGEM</v>
      </c>
      <c r="C95" s="93"/>
      <c r="D95" s="82"/>
      <c r="E95" s="90"/>
      <c r="F95" s="90"/>
      <c r="G95" s="90"/>
      <c r="H95" s="90"/>
      <c r="I95" s="90"/>
      <c r="J95" s="94"/>
      <c r="K95" s="265"/>
      <c r="L95" s="33"/>
      <c r="M95" s="33"/>
      <c r="N95" s="33"/>
      <c r="O95" s="32"/>
      <c r="P95" s="34"/>
      <c r="Q95" s="32"/>
      <c r="R95" s="56"/>
      <c r="S95" s="48"/>
      <c r="T95" s="49"/>
      <c r="U95" s="49"/>
      <c r="Y95" s="63"/>
      <c r="Z95" s="63"/>
    </row>
    <row r="96" spans="1:26" s="47" customFormat="1" ht="45">
      <c r="A96" s="74" t="s">
        <v>26</v>
      </c>
      <c r="B96" s="116" t="str">
        <f>VLOOKUP($A96,$A$16:$J$63,2,FALSE)</f>
        <v>ESCAVAÇÃO MECANIZADA DE VALA COM PROF. ATÉ 1,5 M(MÉDIA ENTRE MONTANTE E JUSANTE/UMA COMPOSIÇÃO POR TRECHO), COM ESCAVADEIRA HIDRÁULICA (0,8 M3), LARG. DE 1,5M A 2,5 M, EM SOLO DE 1A CATEGORIA, LOCAIS COM BAIXO NÍVEL DE INTERFERÊNCIA. AF_02/2021</v>
      </c>
      <c r="C96" s="117" t="str">
        <f>VLOOKUP($A96,$A$16:$J$63,3,FALSE)</f>
        <v>m³</v>
      </c>
      <c r="D96" s="95">
        <v>9.6</v>
      </c>
      <c r="E96" s="87">
        <f>VLOOKUP($A96,$A$16:$J$63,5,FALSE)</f>
        <v>6.2</v>
      </c>
      <c r="F96" s="87">
        <f>VLOOKUP($A96,$A$16:$J$63,6,FALSE)</f>
        <v>1.17</v>
      </c>
      <c r="G96" s="87">
        <f>VLOOKUP($A96,$A$16:$J$63,7,FALSE)</f>
        <v>7.37</v>
      </c>
      <c r="H96" s="88">
        <f t="shared" ref="H96:H99" si="38">J96-I96</f>
        <v>59.519999999999996</v>
      </c>
      <c r="I96" s="88">
        <f t="shared" ref="I96:I99" si="39">TRUNC(D96*F96,2)</f>
        <v>11.23</v>
      </c>
      <c r="J96" s="87">
        <f t="shared" ref="J96:J99" si="40">TRUNC(D96*G96,2)</f>
        <v>70.75</v>
      </c>
      <c r="K96" s="263">
        <f>VLOOKUP($A96,$A$16:$K$63,11,FALSE)</f>
        <v>90106</v>
      </c>
      <c r="L96" s="33"/>
      <c r="M96" s="33"/>
      <c r="N96" s="33"/>
      <c r="O96" s="32"/>
      <c r="P96" s="34"/>
      <c r="Q96" s="32"/>
      <c r="R96" s="56"/>
      <c r="S96" s="48"/>
      <c r="T96" s="49"/>
      <c r="U96" s="49"/>
      <c r="Y96" s="63"/>
      <c r="Z96" s="63"/>
    </row>
    <row r="97" spans="1:26" s="47" customFormat="1" ht="30">
      <c r="A97" s="74" t="s">
        <v>27</v>
      </c>
      <c r="B97" s="116" t="str">
        <f>VLOOKUP($A97,$A$16:$J$63,2,FALSE)</f>
        <v>TRANSPORTE COM CAMINHÃO BASCULANTE DE 10 M³, EM VIA URBANA EM REVESTIMENTO PRIMÁRIO, DMT 13,30 KM (UNIDADE: M3XKM). AF_07/2020</v>
      </c>
      <c r="C97" s="117" t="str">
        <f>VLOOKUP($A97,$A$16:$J$63,3,FALSE)</f>
        <v>m³ x km</v>
      </c>
      <c r="D97" s="86">
        <v>2.2599999999999998</v>
      </c>
      <c r="E97" s="87">
        <f>VLOOKUP($A97,$A$16:$J$63,5,FALSE)</f>
        <v>2</v>
      </c>
      <c r="F97" s="87">
        <f>VLOOKUP($A97,$A$16:$J$63,6,FALSE)</f>
        <v>0.17</v>
      </c>
      <c r="G97" s="87">
        <f>VLOOKUP($A97,$A$16:$J$63,7,FALSE)</f>
        <v>2.17</v>
      </c>
      <c r="H97" s="88">
        <f t="shared" si="38"/>
        <v>4.5200000000000005</v>
      </c>
      <c r="I97" s="88">
        <f t="shared" si="39"/>
        <v>0.38</v>
      </c>
      <c r="J97" s="87">
        <f t="shared" si="40"/>
        <v>4.9000000000000004</v>
      </c>
      <c r="K97" s="263">
        <f>VLOOKUP($A97,$A$16:$K$63,11,FALSE)</f>
        <v>93589</v>
      </c>
      <c r="L97" s="33"/>
      <c r="M97" s="33"/>
      <c r="N97" s="33"/>
      <c r="O97" s="43">
        <v>13.3</v>
      </c>
      <c r="P97" s="34"/>
      <c r="Q97" s="32"/>
      <c r="R97" s="56"/>
      <c r="S97" s="48"/>
      <c r="T97" s="49"/>
      <c r="U97" s="49"/>
      <c r="Y97" s="63"/>
      <c r="Z97" s="63"/>
    </row>
    <row r="98" spans="1:26" s="47" customFormat="1" ht="21" customHeight="1">
      <c r="A98" s="74" t="s">
        <v>28</v>
      </c>
      <c r="B98" s="116" t="str">
        <f>VLOOKUP($A98,$A$16:$J$63,2,FALSE)</f>
        <v>LASTRO DE BRITA PARA ASSENTAMENTO DOS TUBOS, EXCLUSIVE TRANPORTE</v>
      </c>
      <c r="C98" s="117" t="str">
        <f>VLOOKUP($A98,$A$16:$J$63,3,FALSE)</f>
        <v>m³</v>
      </c>
      <c r="D98" s="86">
        <v>1</v>
      </c>
      <c r="E98" s="87">
        <f>VLOOKUP($A98,$A$16:$J$63,5,FALSE)</f>
        <v>103.81</v>
      </c>
      <c r="F98" s="87">
        <f>VLOOKUP($A98,$A$16:$J$63,6,FALSE)</f>
        <v>19.77</v>
      </c>
      <c r="G98" s="87">
        <f>VLOOKUP($A98,$A$16:$J$63,7,FALSE)</f>
        <v>123.58</v>
      </c>
      <c r="H98" s="88">
        <f t="shared" si="38"/>
        <v>103.81</v>
      </c>
      <c r="I98" s="88">
        <f t="shared" si="39"/>
        <v>19.77</v>
      </c>
      <c r="J98" s="87">
        <f t="shared" si="40"/>
        <v>123.58</v>
      </c>
      <c r="K98" s="263">
        <f>VLOOKUP($A98,$A$16:$K$63,11,FALSE)</f>
        <v>96624</v>
      </c>
      <c r="L98" s="33"/>
      <c r="M98" s="33"/>
      <c r="N98" s="33"/>
      <c r="O98" s="64"/>
      <c r="P98" s="34"/>
      <c r="Q98" s="32"/>
      <c r="R98" s="56"/>
      <c r="S98" s="48"/>
      <c r="T98" s="49"/>
      <c r="U98" s="49"/>
      <c r="Y98" s="63"/>
      <c r="Z98" s="63"/>
    </row>
    <row r="99" spans="1:26" s="47" customFormat="1" ht="30">
      <c r="A99" s="74" t="s">
        <v>29</v>
      </c>
      <c r="B99" s="116" t="str">
        <f>VLOOKUP($A99,$A$16:$J$63,2,FALSE)</f>
        <v>TRANSPORTE COM CAMINHÃO BASCULANTE DE 10 M³, EM VIA URBANA PAVIMENTADA, DMT 26,30 KM (UNIDADE: M3XKM). AF_07/2020</v>
      </c>
      <c r="C99" s="117" t="str">
        <f>VLOOKUP($A99,$A$16:$J$63,3,FALSE)</f>
        <v>m³ x km</v>
      </c>
      <c r="D99" s="86">
        <v>29.72</v>
      </c>
      <c r="E99" s="87">
        <f>VLOOKUP($A99,$A$16:$J$63,5,FALSE)</f>
        <v>2</v>
      </c>
      <c r="F99" s="87">
        <f>VLOOKUP($A99,$A$16:$J$63,6,FALSE)</f>
        <v>0.17</v>
      </c>
      <c r="G99" s="87">
        <f>VLOOKUP($A99,$A$16:$J$63,7,FALSE)</f>
        <v>2.17</v>
      </c>
      <c r="H99" s="88">
        <f t="shared" si="38"/>
        <v>59.44</v>
      </c>
      <c r="I99" s="88">
        <f t="shared" si="39"/>
        <v>5.05</v>
      </c>
      <c r="J99" s="87">
        <f t="shared" si="40"/>
        <v>64.489999999999995</v>
      </c>
      <c r="K99" s="263">
        <f>VLOOKUP($A99,$A$16:$K$63,11,FALSE)</f>
        <v>95875</v>
      </c>
      <c r="L99" s="33"/>
      <c r="M99" s="33"/>
      <c r="N99" s="33"/>
      <c r="O99" s="43">
        <v>26.3</v>
      </c>
      <c r="P99" s="34"/>
      <c r="Q99" s="32"/>
      <c r="R99" s="56"/>
      <c r="S99" s="48"/>
      <c r="T99" s="49"/>
      <c r="U99" s="49"/>
      <c r="Y99" s="63"/>
      <c r="Z99" s="63"/>
    </row>
    <row r="100" spans="1:26" s="47" customFormat="1" ht="30">
      <c r="A100" s="74" t="s">
        <v>157</v>
      </c>
      <c r="B100" s="116" t="str">
        <f>VLOOKUP($A100,$A$16:$J$63,2,FALSE)</f>
        <v>TUBO DE CONCRETO SIMPLES PARA AGUAS PLUVIAIS, CLASSE PS-1, COM ENCAIXE MACHO FÊMEA, DIAMETRO NOMINAL DE 400 MM</v>
      </c>
      <c r="C100" s="117" t="str">
        <f>VLOOKUP($A100,$A$16:$J$63,3,FALSE)</f>
        <v>m</v>
      </c>
      <c r="D100" s="95">
        <v>0</v>
      </c>
      <c r="E100" s="87">
        <f>VLOOKUP($A100,$A$16:$J$63,5,FALSE)</f>
        <v>57.74</v>
      </c>
      <c r="F100" s="87">
        <f>VLOOKUP($A100,$A$16:$J$63,6,FALSE)</f>
        <v>0</v>
      </c>
      <c r="G100" s="87">
        <f>VLOOKUP($A100,$A$16:$J$63,7,FALSE)</f>
        <v>57.74</v>
      </c>
      <c r="H100" s="88">
        <f t="shared" ref="H100:H101" si="41">J100-I100</f>
        <v>0</v>
      </c>
      <c r="I100" s="88">
        <f t="shared" ref="I100:I101" si="42">TRUNC(D100*F100,2)</f>
        <v>0</v>
      </c>
      <c r="J100" s="87">
        <f t="shared" ref="J100:J101" si="43">TRUNC(D100*G100,2)</f>
        <v>0</v>
      </c>
      <c r="K100" s="263">
        <f>VLOOKUP($A100,$A$16:$K$63,11,FALSE)</f>
        <v>37451</v>
      </c>
      <c r="L100" s="33"/>
      <c r="M100" s="33"/>
      <c r="N100" s="33"/>
      <c r="O100" s="32"/>
      <c r="P100" s="34"/>
      <c r="Q100" s="32"/>
      <c r="R100" s="56"/>
      <c r="S100" s="48"/>
      <c r="T100" s="49"/>
      <c r="U100" s="49"/>
      <c r="Y100" s="63"/>
      <c r="Z100" s="63"/>
    </row>
    <row r="101" spans="1:26" s="47" customFormat="1" ht="30">
      <c r="A101" s="74" t="s">
        <v>158</v>
      </c>
      <c r="B101" s="116" t="str">
        <f>VLOOKUP($A101,$A$16:$J$63,2,FALSE)</f>
        <v>TUBO DE CONCRETO ARMADO PARA AGUAS PLUVIAIS, CLASSE PA-1, COM ENCAIXE MACHO FÊMEA, DIAMETRO NOMINAL DE 400 MM</v>
      </c>
      <c r="C101" s="117" t="str">
        <f>VLOOKUP($A101,$A$16:$J$63,3,FALSE)</f>
        <v>m</v>
      </c>
      <c r="D101" s="95">
        <v>10</v>
      </c>
      <c r="E101" s="87">
        <f>VLOOKUP($A101,$A$16:$J$63,5,FALSE)</f>
        <v>118.76</v>
      </c>
      <c r="F101" s="87">
        <f>VLOOKUP($A101,$A$16:$J$63,6,FALSE)</f>
        <v>0</v>
      </c>
      <c r="G101" s="87">
        <f>VLOOKUP($A101,$A$16:$J$63,7,FALSE)</f>
        <v>118.76</v>
      </c>
      <c r="H101" s="88">
        <f t="shared" si="41"/>
        <v>1187.5999999999999</v>
      </c>
      <c r="I101" s="88">
        <f t="shared" si="42"/>
        <v>0</v>
      </c>
      <c r="J101" s="87">
        <f t="shared" si="43"/>
        <v>1187.5999999999999</v>
      </c>
      <c r="K101" s="263">
        <f>VLOOKUP($A101,$A$16:$K$63,11,FALSE)</f>
        <v>7745</v>
      </c>
      <c r="L101" s="33"/>
      <c r="M101" s="33"/>
      <c r="N101" s="33"/>
      <c r="O101" s="311"/>
      <c r="P101" s="34"/>
      <c r="Q101" s="32"/>
      <c r="R101" s="56"/>
      <c r="S101" s="48"/>
      <c r="T101" s="49"/>
      <c r="U101" s="49"/>
      <c r="Y101" s="63"/>
      <c r="Z101" s="63"/>
    </row>
    <row r="102" spans="1:26" s="47" customFormat="1" ht="30">
      <c r="A102" s="74" t="s">
        <v>159</v>
      </c>
      <c r="B102" s="116" t="str">
        <f>VLOOKUP($A102,$A$16:$J$63,2,FALSE)</f>
        <v>ASSENTAMENTO DE TUBO DE CONCRETO PARA REDES COLETORAS DE ÁGUAS PLUVIAIS, DIÂMETRO DE 400 MM, JUNTA RÍGIDA, INSTALADO EM LOCAL COM BAIXO NÍVEL DE INTERFERÊNCIAS (NÃO INCLUI FORNECIMENTO). AF_12/2015</v>
      </c>
      <c r="C102" s="117" t="str">
        <f>VLOOKUP($A102,$A$16:$J$63,3,FALSE)</f>
        <v>m</v>
      </c>
      <c r="D102" s="95">
        <f>ROUND(D100+D101,2)</f>
        <v>10</v>
      </c>
      <c r="E102" s="87">
        <f>VLOOKUP($A102,$A$16:$J$63,5,FALSE)</f>
        <v>0</v>
      </c>
      <c r="F102" s="87">
        <f>VLOOKUP($A102,$A$16:$J$63,6,FALSE)</f>
        <v>58.08</v>
      </c>
      <c r="G102" s="87">
        <f>VLOOKUP($A102,$A$16:$J$63,7,FALSE)</f>
        <v>58.08</v>
      </c>
      <c r="H102" s="88">
        <f t="shared" ref="H102" si="44">J102-I102</f>
        <v>0</v>
      </c>
      <c r="I102" s="88">
        <f t="shared" ref="I102" si="45">TRUNC(D102*F102,2)</f>
        <v>580.79999999999995</v>
      </c>
      <c r="J102" s="87">
        <f t="shared" ref="J102" si="46">TRUNC(D102*G102,2)</f>
        <v>580.79999999999995</v>
      </c>
      <c r="K102" s="263">
        <f>VLOOKUP($A102,$A$16:$K$63,11,FALSE)</f>
        <v>92809</v>
      </c>
      <c r="L102" s="33"/>
      <c r="M102" s="33"/>
      <c r="N102" s="33"/>
      <c r="O102" s="32"/>
      <c r="P102" s="34"/>
      <c r="Q102" s="32"/>
      <c r="R102" s="56"/>
      <c r="S102" s="48"/>
      <c r="T102" s="49"/>
      <c r="U102" s="49"/>
      <c r="Y102" s="63"/>
      <c r="Z102" s="63"/>
    </row>
    <row r="103" spans="1:26" s="47" customFormat="1" ht="45">
      <c r="A103" s="74" t="s">
        <v>160</v>
      </c>
      <c r="B103" s="116" t="str">
        <f>VLOOKUP($A103,$A$16:$J$63,2,FALSE)</f>
        <v>REATERRO MECANIZADO DE VALA COM ESCAVADEIRA HIDRÁULICA (CAPACIDADE DA CAÇAMBA: 0,8 M³ / POTÊNCIA: 111 HP), LARGURA ATÉ 1,5 M, PROFUNDIDADE DE 1,5 A 3,0 M, COM SOLO DE 1ª CATEGORIA EM LOCAIS COM BAIXO NÍVEL DE INTERFERÊNCIA. AF_04/2016</v>
      </c>
      <c r="C103" s="117" t="str">
        <f>VLOOKUP($A103,$A$16:$J$63,3,FALSE)</f>
        <v>m³</v>
      </c>
      <c r="D103" s="86">
        <f>ROUND(D96-(D100*0.181+D101*0.181),2)</f>
        <v>7.79</v>
      </c>
      <c r="E103" s="87">
        <f>VLOOKUP($A103,$A$16:$J$63,5,FALSE)</f>
        <v>19.64</v>
      </c>
      <c r="F103" s="87">
        <f>VLOOKUP($A103,$A$16:$J$63,6,FALSE)</f>
        <v>3.74</v>
      </c>
      <c r="G103" s="87">
        <f>VLOOKUP($A103,$A$16:$J$63,7,FALSE)</f>
        <v>23.38</v>
      </c>
      <c r="H103" s="88">
        <f t="shared" ref="H103" si="47">J103-I103</f>
        <v>153</v>
      </c>
      <c r="I103" s="88">
        <f t="shared" ref="I103" si="48">TRUNC(D103*F103,2)</f>
        <v>29.13</v>
      </c>
      <c r="J103" s="87">
        <f t="shared" ref="J103" si="49">TRUNC(D103*G103,2)</f>
        <v>182.13</v>
      </c>
      <c r="K103" s="263">
        <f>VLOOKUP($A103,$A$16:$K$63,11,FALSE)</f>
        <v>93368</v>
      </c>
      <c r="L103" s="33"/>
      <c r="M103" s="33"/>
      <c r="N103" s="33"/>
      <c r="O103" s="64"/>
      <c r="P103" s="34"/>
      <c r="Q103" s="32"/>
      <c r="R103" s="56"/>
      <c r="S103" s="48"/>
      <c r="T103" s="49"/>
      <c r="U103" s="49"/>
      <c r="Y103" s="63"/>
      <c r="Z103" s="63"/>
    </row>
    <row r="104" spans="1:26" s="47" customFormat="1" ht="25.5" customHeight="1">
      <c r="A104" s="74" t="s">
        <v>151</v>
      </c>
      <c r="B104" s="116" t="str">
        <f>VLOOKUP($A104,$A$16:$J$63,2,FALSE)</f>
        <v>CAIXA COLETORA COM PAREDES EM PEDRA GRÊS, 0,80x0,80, COM FUNDO E TAMPA DE CONCRETO</v>
      </c>
      <c r="C104" s="117" t="str">
        <f>VLOOKUP($A104,$A$16:$J$63,3,FALSE)</f>
        <v>unid</v>
      </c>
      <c r="D104" s="86">
        <v>2</v>
      </c>
      <c r="E104" s="87">
        <f>VLOOKUP($A104,$A$16:$J$63,5,FALSE)</f>
        <v>1557.52</v>
      </c>
      <c r="F104" s="87">
        <f>VLOOKUP($A104,$A$16:$J$63,6,FALSE)</f>
        <v>296.66000000000003</v>
      </c>
      <c r="G104" s="87">
        <f>VLOOKUP($A104,$A$16:$J$63,7,FALSE)</f>
        <v>1854.18</v>
      </c>
      <c r="H104" s="88">
        <f t="shared" ref="H104" si="50">J104-I104</f>
        <v>3115.04</v>
      </c>
      <c r="I104" s="88">
        <f t="shared" ref="I104" si="51">TRUNC(D104*F104,2)</f>
        <v>593.32000000000005</v>
      </c>
      <c r="J104" s="87">
        <f t="shared" ref="J104" si="52">TRUNC(D104*G104,2)</f>
        <v>3708.36</v>
      </c>
      <c r="K104" s="263" t="str">
        <f>VLOOKUP($A104,$A$16:$K$63,11,FALSE)</f>
        <v>CPU 09</v>
      </c>
      <c r="L104" s="33"/>
      <c r="M104" s="33"/>
      <c r="N104" s="33"/>
      <c r="O104" s="64"/>
      <c r="P104" s="34"/>
      <c r="Q104" s="32"/>
      <c r="R104" s="56"/>
      <c r="S104" s="48"/>
      <c r="T104" s="49"/>
      <c r="U104" s="49"/>
      <c r="Y104" s="63"/>
      <c r="Z104" s="63"/>
    </row>
    <row r="105" spans="1:26" s="47" customFormat="1" ht="21" customHeight="1">
      <c r="A105" s="76" t="str">
        <f>CONCATENATE("TOTAL DO ITEM ",A95," - ",B95)</f>
        <v>TOTAL DO ITEM 3 - DRENAGEM</v>
      </c>
      <c r="B105" s="118"/>
      <c r="C105" s="96"/>
      <c r="D105" s="96"/>
      <c r="E105" s="97"/>
      <c r="F105" s="97"/>
      <c r="G105" s="97"/>
      <c r="H105" s="98">
        <f>SUM(H96:H104)</f>
        <v>4682.93</v>
      </c>
      <c r="I105" s="98">
        <f t="shared" ref="I105:J105" si="53">SUM(I96:I104)</f>
        <v>1239.6799999999998</v>
      </c>
      <c r="J105" s="98">
        <f t="shared" si="53"/>
        <v>5922.6100000000006</v>
      </c>
      <c r="K105" s="266"/>
      <c r="L105" s="33"/>
      <c r="M105" s="33"/>
      <c r="N105" s="33"/>
      <c r="O105" s="34"/>
      <c r="P105" s="34"/>
      <c r="Q105" s="32"/>
      <c r="R105" s="56"/>
      <c r="S105" s="48"/>
      <c r="T105" s="49"/>
      <c r="U105" s="49"/>
      <c r="Y105" s="63"/>
      <c r="Z105" s="63"/>
    </row>
    <row r="106" spans="1:26" s="47" customFormat="1" ht="21" customHeight="1">
      <c r="A106" s="78">
        <v>4</v>
      </c>
      <c r="B106" s="77" t="str">
        <f>VLOOKUP($A106,$A$16:$J$63,2,FALSE)</f>
        <v>PAVIMENTAÇÃO</v>
      </c>
      <c r="C106" s="93"/>
      <c r="D106" s="82"/>
      <c r="E106" s="90"/>
      <c r="F106" s="90"/>
      <c r="G106" s="90"/>
      <c r="H106" s="90"/>
      <c r="I106" s="90"/>
      <c r="J106" s="94"/>
      <c r="K106" s="265"/>
      <c r="L106" s="33"/>
      <c r="M106" s="33"/>
      <c r="N106" s="33"/>
      <c r="O106" s="34"/>
      <c r="P106" s="34"/>
      <c r="Q106" s="32"/>
      <c r="R106" s="56"/>
      <c r="S106" s="48"/>
      <c r="T106" s="49"/>
      <c r="U106" s="49"/>
      <c r="Y106" s="63"/>
      <c r="Z106" s="63"/>
    </row>
    <row r="107" spans="1:26" s="47" customFormat="1" ht="32.25" customHeight="1">
      <c r="A107" s="74" t="s">
        <v>30</v>
      </c>
      <c r="B107" s="116" t="str">
        <f>VLOOKUP($A107,$A$16:$J$63,2,FALSE)</f>
        <v>EXECUÇÃO E COMPACTAÇÃO DE BASE E OU SUB BASE PARA PAVIMENTAÇÃO DE MACADAME SECO (E = 15 CM) - EXCLUSIVE CARGA E TRANSPORTE. AF_11/2019</v>
      </c>
      <c r="C107" s="117" t="str">
        <f>VLOOKUP($A107,$A$16:$J$63,3,FALSE)</f>
        <v>m³</v>
      </c>
      <c r="D107" s="86">
        <v>137.04</v>
      </c>
      <c r="E107" s="87">
        <f>VLOOKUP($A107,$A$16:$J$63,5,FALSE)</f>
        <v>109.35000000000001</v>
      </c>
      <c r="F107" s="87">
        <f>VLOOKUP($A107,$A$16:$J$63,6,FALSE)</f>
        <v>14.91</v>
      </c>
      <c r="G107" s="87">
        <f>VLOOKUP($A107,$A$16:$J$63,7,FALSE)</f>
        <v>124.26</v>
      </c>
      <c r="H107" s="88">
        <f t="shared" ref="H107:H113" si="54">J107-I107</f>
        <v>14985.33</v>
      </c>
      <c r="I107" s="88">
        <f t="shared" ref="I107:I113" si="55">TRUNC(D107*F107,2)</f>
        <v>2043.26</v>
      </c>
      <c r="J107" s="87">
        <f t="shared" ref="J107:J113" si="56">TRUNC(D107*G107,2)</f>
        <v>17028.59</v>
      </c>
      <c r="K107" s="263">
        <f>VLOOKUP($A107,$A$16:$K$63,11,FALSE)</f>
        <v>96400</v>
      </c>
      <c r="L107" s="33"/>
      <c r="M107" s="33"/>
      <c r="N107" s="33"/>
      <c r="O107" s="34"/>
      <c r="P107" s="34"/>
      <c r="Q107" s="32"/>
      <c r="R107" s="56"/>
      <c r="S107" s="48"/>
      <c r="T107" s="49"/>
      <c r="U107" s="49"/>
      <c r="Y107" s="63"/>
      <c r="Z107" s="63"/>
    </row>
    <row r="108" spans="1:26" s="47" customFormat="1" ht="32.25" customHeight="1">
      <c r="A108" s="74" t="s">
        <v>150</v>
      </c>
      <c r="B108" s="79" t="str">
        <f>VLOOKUP($A108,$A$16:$J$63,2,FALSE)</f>
        <v>TRANSPORTE COM CAMINHÃO BASCULANTE DE 10 M³, EM VIA URBANA PAVIMENTADA , DMT 26,30 KM (UNIDADE: M3XKM). AF_07/2020</v>
      </c>
      <c r="C108" s="117" t="str">
        <f>VLOOKUP($A108,$A$16:$J$63,3,FALSE)</f>
        <v>m³ x km</v>
      </c>
      <c r="D108" s="86">
        <f>ROUND(D107*1.1*$O$108,2)</f>
        <v>3964.57</v>
      </c>
      <c r="E108" s="87">
        <f>VLOOKUP($A108,$A$16:$J$63,5,FALSE)</f>
        <v>1.8499999999999999</v>
      </c>
      <c r="F108" s="87">
        <f>VLOOKUP($A108,$A$16:$J$63,6,FALSE)</f>
        <v>0.16</v>
      </c>
      <c r="G108" s="87">
        <f>VLOOKUP($A108,$A$16:$J$63,7,FALSE)</f>
        <v>2.0099999999999998</v>
      </c>
      <c r="H108" s="88">
        <f t="shared" si="54"/>
        <v>7334.45</v>
      </c>
      <c r="I108" s="88">
        <f t="shared" si="55"/>
        <v>634.33000000000004</v>
      </c>
      <c r="J108" s="87">
        <f t="shared" si="56"/>
        <v>7968.78</v>
      </c>
      <c r="K108" s="263">
        <f>VLOOKUP($A108,$A$16:$K$63,11,FALSE)</f>
        <v>95875</v>
      </c>
      <c r="L108" s="33"/>
      <c r="M108" s="33"/>
      <c r="N108" s="33"/>
      <c r="O108" s="43">
        <v>26.3</v>
      </c>
      <c r="P108" s="34"/>
      <c r="Q108" s="32"/>
      <c r="R108" s="56"/>
      <c r="S108" s="48"/>
      <c r="T108" s="49"/>
      <c r="U108" s="49"/>
      <c r="Y108" s="63"/>
      <c r="Z108" s="63"/>
    </row>
    <row r="109" spans="1:26" s="47" customFormat="1" ht="32.25" customHeight="1">
      <c r="A109" s="74" t="s">
        <v>148</v>
      </c>
      <c r="B109" s="116" t="str">
        <f>VLOOKUP($A109,$A$16:$J$63,2,FALSE)</f>
        <v>EXECUÇÃO E COMPACTAÇÃO DE BASE E OU SUB BASE PARA PAVIMENTAÇÃO DE BRITA GRADUADA SIMPLES (E = 15 CM) - EXCLUSIVE CARGA E TRANSPORTE. AF_11/2019</v>
      </c>
      <c r="C109" s="117" t="str">
        <f>VLOOKUP($A109,$A$16:$J$63,3,FALSE)</f>
        <v>m³</v>
      </c>
      <c r="D109" s="86">
        <v>127.14</v>
      </c>
      <c r="E109" s="87">
        <f>VLOOKUP($A109,$A$16:$J$63,5,FALSE)</f>
        <v>120.35</v>
      </c>
      <c r="F109" s="87">
        <f>VLOOKUP($A109,$A$16:$J$63,6,FALSE)</f>
        <v>16.41</v>
      </c>
      <c r="G109" s="87">
        <f>VLOOKUP($A109,$A$16:$J$63,7,FALSE)</f>
        <v>136.76</v>
      </c>
      <c r="H109" s="88">
        <f t="shared" si="54"/>
        <v>15301.3</v>
      </c>
      <c r="I109" s="88">
        <f t="shared" si="55"/>
        <v>2086.36</v>
      </c>
      <c r="J109" s="87">
        <f t="shared" si="56"/>
        <v>17387.66</v>
      </c>
      <c r="K109" s="263">
        <f>VLOOKUP($A109,$A$16:$K$63,11,FALSE)</f>
        <v>96396</v>
      </c>
      <c r="L109" s="33"/>
      <c r="M109" s="33"/>
      <c r="N109" s="33"/>
      <c r="O109" s="34"/>
      <c r="P109" s="34"/>
      <c r="Q109" s="32"/>
      <c r="R109" s="56"/>
      <c r="S109" s="48"/>
      <c r="T109" s="49"/>
      <c r="U109" s="49"/>
      <c r="Y109" s="63"/>
      <c r="Z109" s="63"/>
    </row>
    <row r="110" spans="1:26" s="47" customFormat="1" ht="32.25" customHeight="1">
      <c r="A110" s="74" t="s">
        <v>349</v>
      </c>
      <c r="B110" s="79" t="str">
        <f>VLOOKUP($A110,$A$16:$J$63,2,FALSE)</f>
        <v>TRANSPORTE COM CAMINHÃO BASCULANTE DE 10 M³, EM VIA URBANA PAVIMENTADA , DMT 26,30 KM (UNIDADE: M3XKM). AF_07/2020</v>
      </c>
      <c r="C110" s="117" t="str">
        <f>VLOOKUP($A110,$A$16:$J$63,3,FALSE)</f>
        <v>m³ x km</v>
      </c>
      <c r="D110" s="86">
        <f>ROUND(D109*1.45*$O$110,2)</f>
        <v>4848.4799999999996</v>
      </c>
      <c r="E110" s="87">
        <f>VLOOKUP($A110,$A$16:$J$63,5,FALSE)</f>
        <v>1.8499999999999999</v>
      </c>
      <c r="F110" s="87">
        <f>VLOOKUP($A110,$A$16:$J$63,6,FALSE)</f>
        <v>0.16</v>
      </c>
      <c r="G110" s="87">
        <f>VLOOKUP($A110,$A$16:$J$63,7,FALSE)</f>
        <v>2.0099999999999998</v>
      </c>
      <c r="H110" s="88">
        <f t="shared" si="54"/>
        <v>8969.69</v>
      </c>
      <c r="I110" s="88">
        <f t="shared" si="55"/>
        <v>775.75</v>
      </c>
      <c r="J110" s="87">
        <f t="shared" si="56"/>
        <v>9745.44</v>
      </c>
      <c r="K110" s="263">
        <f>VLOOKUP($A110,$A$16:$K$63,11,FALSE)</f>
        <v>95875</v>
      </c>
      <c r="L110" s="33"/>
      <c r="M110" s="33"/>
      <c r="N110" s="33"/>
      <c r="O110" s="43">
        <v>26.3</v>
      </c>
      <c r="P110" s="34"/>
      <c r="Q110" s="32"/>
      <c r="R110" s="56"/>
      <c r="S110" s="48"/>
      <c r="T110" s="49"/>
      <c r="U110" s="49"/>
      <c r="Y110" s="63"/>
      <c r="Z110" s="63"/>
    </row>
    <row r="111" spans="1:26" s="47" customFormat="1" ht="32.25" customHeight="1">
      <c r="A111" s="74" t="s">
        <v>351</v>
      </c>
      <c r="B111" s="116" t="str">
        <f>VLOOKUP($A111,$A$16:$J$63,2,FALSE)</f>
        <v>IMPRIMAÇÃO COM CM-30, INCLUSIVE ASFALTO E TRANSPORTE, TAXA= 0,8 L/M² A 1,6 L/M²</v>
      </c>
      <c r="C111" s="117" t="str">
        <f>VLOOKUP($A111,$A$16:$J$63,3,FALSE)</f>
        <v>m²</v>
      </c>
      <c r="D111" s="86">
        <v>847.59</v>
      </c>
      <c r="E111" s="87">
        <f>VLOOKUP($A111,$A$16:$J$63,5,FALSE)</f>
        <v>10.36</v>
      </c>
      <c r="F111" s="87">
        <f>VLOOKUP($A111,$A$16:$J$63,6,FALSE)</f>
        <v>1.1499999999999999</v>
      </c>
      <c r="G111" s="87">
        <f>VLOOKUP($A111,$A$16:$J$63,7,FALSE)</f>
        <v>11.51</v>
      </c>
      <c r="H111" s="88">
        <f t="shared" si="54"/>
        <v>8781.0400000000009</v>
      </c>
      <c r="I111" s="88">
        <f t="shared" si="55"/>
        <v>974.72</v>
      </c>
      <c r="J111" s="87">
        <f t="shared" si="56"/>
        <v>9755.76</v>
      </c>
      <c r="K111" s="263" t="str">
        <f>VLOOKUP($A111,$A$16:$K$63,11,FALSE)</f>
        <v>CPU 05 (96401)</v>
      </c>
      <c r="L111" s="33"/>
      <c r="M111" s="33"/>
      <c r="N111" s="33"/>
      <c r="O111" s="34"/>
      <c r="P111" s="34"/>
      <c r="Q111" s="32"/>
      <c r="R111" s="56"/>
      <c r="S111" s="48"/>
      <c r="T111" s="49"/>
      <c r="U111" s="49"/>
      <c r="Y111" s="63"/>
      <c r="Z111" s="63"/>
    </row>
    <row r="112" spans="1:26" s="47" customFormat="1" ht="32.25" customHeight="1">
      <c r="A112" s="74" t="s">
        <v>352</v>
      </c>
      <c r="B112" s="116" t="str">
        <f>VLOOKUP($A112,$A$16:$J$63,2,FALSE)</f>
        <v>EXECUÇÃO DE PINTURA DE LIGAÇÃO COM EMULSÃO ASFÁLTICA RR-2C. AF_11/2019</v>
      </c>
      <c r="C112" s="117" t="str">
        <f>VLOOKUP($A112,$A$16:$J$63,3,FALSE)</f>
        <v>m²</v>
      </c>
      <c r="D112" s="86">
        <v>781.59</v>
      </c>
      <c r="E112" s="87">
        <f>VLOOKUP($A112,$A$16:$J$63,5,FALSE)</f>
        <v>3.1100000000000003</v>
      </c>
      <c r="F112" s="87">
        <f>VLOOKUP($A112,$A$16:$J$63,6,FALSE)</f>
        <v>0.34</v>
      </c>
      <c r="G112" s="87">
        <f>VLOOKUP($A112,$A$16:$J$63,7,FALSE)</f>
        <v>3.45</v>
      </c>
      <c r="H112" s="88">
        <f t="shared" si="54"/>
        <v>2430.7399999999998</v>
      </c>
      <c r="I112" s="88">
        <f t="shared" si="55"/>
        <v>265.74</v>
      </c>
      <c r="J112" s="87">
        <f t="shared" si="56"/>
        <v>2696.48</v>
      </c>
      <c r="K112" s="263" t="str">
        <f>VLOOKUP($A112,$A$16:$K$63,11,FALSE)</f>
        <v>CPU 06 (96402)</v>
      </c>
      <c r="L112" s="33"/>
      <c r="M112" s="33"/>
      <c r="N112" s="33"/>
      <c r="O112" s="34"/>
      <c r="P112" s="34"/>
      <c r="Q112" s="32"/>
      <c r="R112" s="56"/>
      <c r="S112" s="48"/>
      <c r="T112" s="49"/>
      <c r="U112" s="49"/>
      <c r="Y112" s="63"/>
      <c r="Z112" s="63"/>
    </row>
    <row r="113" spans="1:26" s="47" customFormat="1" ht="32.25" customHeight="1">
      <c r="A113" s="74" t="s">
        <v>353</v>
      </c>
      <c r="B113" s="116" t="str">
        <f>VLOOKUP($A113,$A$16:$J$63,2,FALSE)</f>
        <v>CONCRETO BETUMINOSO USINADO QUENTE (C.B.U.Q.), FORNECIMENTO E EXECUÇÃO (E= 4 CM)</v>
      </c>
      <c r="C113" s="117" t="str">
        <f>VLOOKUP($A113,$A$16:$J$63,3,FALSE)</f>
        <v>m³</v>
      </c>
      <c r="D113" s="86">
        <f>D112*0.04</f>
        <v>31.2636</v>
      </c>
      <c r="E113" s="87">
        <f>VLOOKUP($A113,$A$16:$J$63,5,FALSE)</f>
        <v>1491.71</v>
      </c>
      <c r="F113" s="87">
        <f>VLOOKUP($A113,$A$16:$J$63,6,FALSE)</f>
        <v>165.74</v>
      </c>
      <c r="G113" s="87">
        <f>VLOOKUP($A113,$A$16:$J$63,7,FALSE)</f>
        <v>1657.45</v>
      </c>
      <c r="H113" s="88">
        <f t="shared" si="54"/>
        <v>46636.229999999996</v>
      </c>
      <c r="I113" s="88">
        <f t="shared" si="55"/>
        <v>5181.62</v>
      </c>
      <c r="J113" s="87">
        <f t="shared" si="56"/>
        <v>51817.85</v>
      </c>
      <c r="K113" s="263" t="str">
        <f>VLOOKUP($A113,$A$16:$K$63,11,FALSE)</f>
        <v>CPU 07 (95995)</v>
      </c>
      <c r="L113" s="33"/>
      <c r="M113" s="33"/>
      <c r="N113" s="33"/>
      <c r="O113" s="34"/>
      <c r="P113" s="34"/>
      <c r="Q113" s="32"/>
      <c r="R113" s="56"/>
      <c r="S113" s="48"/>
      <c r="T113" s="49"/>
      <c r="U113" s="49"/>
      <c r="Y113" s="63"/>
      <c r="Z113" s="63"/>
    </row>
    <row r="114" spans="1:26" s="47" customFormat="1" ht="32.25" customHeight="1">
      <c r="A114" s="74" t="s">
        <v>354</v>
      </c>
      <c r="B114" s="79" t="str">
        <f>VLOOKUP($A114,$A$16:$J$63,2,FALSE)</f>
        <v>TRANSPORTE COM CAMINHÃO BASCULANTE DE 10 M³, EM VIA URBANA PAVIMENTADA , DMT 26,30 KM (UNIDADE: M3XKM). AF_07/2020</v>
      </c>
      <c r="C114" s="117" t="str">
        <f>VLOOKUP($A114,$A$16:$J$63,3,FALSE)</f>
        <v>m³ x km</v>
      </c>
      <c r="D114" s="86">
        <f>ROUND(D113*1.45*$O$114,2)</f>
        <v>1192.24</v>
      </c>
      <c r="E114" s="87">
        <f>VLOOKUP($A114,$A$16:$J$63,5,FALSE)</f>
        <v>1.8499999999999999</v>
      </c>
      <c r="F114" s="87">
        <f>VLOOKUP($A114,$A$16:$J$63,6,FALSE)</f>
        <v>0.16</v>
      </c>
      <c r="G114" s="87">
        <f>VLOOKUP($A114,$A$16:$J$63,7,FALSE)</f>
        <v>2.0099999999999998</v>
      </c>
      <c r="H114" s="88">
        <f t="shared" ref="H114" si="57">J114-I114</f>
        <v>2205.65</v>
      </c>
      <c r="I114" s="88">
        <f t="shared" ref="I114" si="58">TRUNC(D114*F114,2)</f>
        <v>190.75</v>
      </c>
      <c r="J114" s="87">
        <f t="shared" ref="J114" si="59">TRUNC(D114*G114,2)</f>
        <v>2396.4</v>
      </c>
      <c r="K114" s="263">
        <f>VLOOKUP($A114,$A$16:$K$63,11,FALSE)</f>
        <v>95875</v>
      </c>
      <c r="L114" s="33"/>
      <c r="M114" s="33"/>
      <c r="N114" s="33"/>
      <c r="O114" s="43">
        <v>26.3</v>
      </c>
      <c r="P114" s="34"/>
      <c r="Q114" s="32"/>
      <c r="R114" s="56"/>
      <c r="S114" s="48"/>
      <c r="T114" s="49"/>
      <c r="U114" s="49"/>
      <c r="Y114" s="63"/>
      <c r="Z114" s="63"/>
    </row>
    <row r="115" spans="1:26" s="47" customFormat="1" ht="21" customHeight="1">
      <c r="A115" s="76" t="str">
        <f>CONCATENATE("TOTAL DO ITEM ",A106," - ",B106)</f>
        <v>TOTAL DO ITEM 4 - PAVIMENTAÇÃO</v>
      </c>
      <c r="B115" s="77"/>
      <c r="C115" s="100"/>
      <c r="D115" s="100"/>
      <c r="E115" s="101"/>
      <c r="F115" s="101"/>
      <c r="G115" s="101"/>
      <c r="H115" s="91">
        <f>SUM(H107:H114)</f>
        <v>106644.43</v>
      </c>
      <c r="I115" s="91">
        <f>SUM(I107:I114)</f>
        <v>12152.53</v>
      </c>
      <c r="J115" s="91">
        <f>SUM(J107:J114)</f>
        <v>118796.95999999999</v>
      </c>
      <c r="K115" s="264"/>
      <c r="L115" s="33"/>
      <c r="M115" s="33"/>
      <c r="N115" s="33"/>
      <c r="O115" s="32"/>
      <c r="P115" s="34"/>
      <c r="Q115" s="32"/>
      <c r="R115" s="56"/>
      <c r="S115" s="48"/>
      <c r="T115" s="49"/>
      <c r="U115" s="49"/>
      <c r="Y115" s="63"/>
      <c r="Z115" s="63"/>
    </row>
    <row r="116" spans="1:26" s="47" customFormat="1" ht="21" customHeight="1">
      <c r="A116" s="78">
        <v>5</v>
      </c>
      <c r="B116" s="77" t="str">
        <f>VLOOKUP($A116,$A$16:$J$63,2,FALSE)</f>
        <v>SINALIZAÇÃO</v>
      </c>
      <c r="C116" s="93"/>
      <c r="D116" s="82"/>
      <c r="E116" s="90"/>
      <c r="F116" s="90"/>
      <c r="G116" s="90"/>
      <c r="H116" s="90"/>
      <c r="I116" s="90"/>
      <c r="J116" s="94"/>
      <c r="K116" s="265"/>
      <c r="L116" s="33"/>
      <c r="M116" s="33"/>
      <c r="N116" s="33"/>
      <c r="O116" s="32"/>
      <c r="P116" s="34"/>
      <c r="Q116" s="32"/>
      <c r="R116" s="56"/>
      <c r="S116" s="48"/>
      <c r="T116" s="49"/>
      <c r="U116" s="49"/>
      <c r="Y116" s="63"/>
      <c r="Z116" s="63"/>
    </row>
    <row r="117" spans="1:26" s="47" customFormat="1" ht="21" customHeight="1">
      <c r="A117" s="74" t="s">
        <v>358</v>
      </c>
      <c r="B117" s="116" t="str">
        <f>VLOOKUP($A117,$A$16:$J$63,2,FALSE)</f>
        <v>LIMPEZA DA SUPERFÍCIE PARA APLICAÇÃO DE SINALIZAÇÃO</v>
      </c>
      <c r="C117" s="117" t="str">
        <f>VLOOKUP($A117,$A$16:$J$63,3,FALSE)</f>
        <v>m²</v>
      </c>
      <c r="D117" s="86">
        <v>61.2</v>
      </c>
      <c r="E117" s="87">
        <f>VLOOKUP($A117,$A$16:$J$63,5,FALSE)</f>
        <v>1.66</v>
      </c>
      <c r="F117" s="87">
        <f>VLOOKUP($A117,$A$16:$J$63,6,FALSE)</f>
        <v>0.33</v>
      </c>
      <c r="G117" s="87">
        <f>VLOOKUP($A117,$A$16:$J$63,7,FALSE)</f>
        <v>1.99</v>
      </c>
      <c r="H117" s="88">
        <f t="shared" ref="H117" si="60">J117-I117</f>
        <v>101.59</v>
      </c>
      <c r="I117" s="88">
        <f t="shared" ref="I117" si="61">TRUNC(D117*F117,2)</f>
        <v>20.190000000000001</v>
      </c>
      <c r="J117" s="87">
        <f t="shared" ref="J117" si="62">TRUNC(D117*G117,2)</f>
        <v>121.78</v>
      </c>
      <c r="K117" s="263">
        <f>VLOOKUP($A117,$A$16:$K$63,11,FALSE)</f>
        <v>99814</v>
      </c>
      <c r="L117" s="33"/>
      <c r="M117" s="33"/>
      <c r="N117" s="33"/>
      <c r="O117" s="32"/>
      <c r="P117" s="34"/>
      <c r="Q117" s="32"/>
      <c r="R117" s="56"/>
      <c r="S117" s="48"/>
      <c r="T117" s="49"/>
      <c r="U117" s="49"/>
      <c r="Y117" s="63"/>
      <c r="Z117" s="63"/>
    </row>
    <row r="118" spans="1:26" s="47" customFormat="1" ht="21" customHeight="1">
      <c r="A118" s="74" t="s">
        <v>359</v>
      </c>
      <c r="B118" s="116" t="str">
        <f>VLOOKUP($A118,$A$16:$J$63,2,FALSE)</f>
        <v>SINALIZAÇÃO HORIZONTAL TINTA ACRÍLICA, COR AMARELA OU BRANCA (L= 12 CM)</v>
      </c>
      <c r="C118" s="117" t="str">
        <f>VLOOKUP($A118,$A$16:$J$63,3,FALSE)</f>
        <v>m²</v>
      </c>
      <c r="D118" s="86">
        <v>39.6</v>
      </c>
      <c r="E118" s="87">
        <f>VLOOKUP($A118,$A$16:$J$63,5,FALSE)</f>
        <v>28.480000000000004</v>
      </c>
      <c r="F118" s="87">
        <f>VLOOKUP($A118,$A$16:$J$63,6,FALSE)</f>
        <v>5.83</v>
      </c>
      <c r="G118" s="87">
        <f>VLOOKUP($A118,$A$16:$J$63,7,FALSE)</f>
        <v>34.31</v>
      </c>
      <c r="H118" s="88">
        <f t="shared" ref="H118:H122" si="63">J118-I118</f>
        <v>1127.81</v>
      </c>
      <c r="I118" s="88">
        <f t="shared" ref="I118:I122" si="64">TRUNC(D118*F118,2)</f>
        <v>230.86</v>
      </c>
      <c r="J118" s="87">
        <f t="shared" ref="J118:J122" si="65">TRUNC(D118*G118,2)</f>
        <v>1358.67</v>
      </c>
      <c r="K118" s="263" t="str">
        <f>VLOOKUP($A118,$A$16:$K$63,11,FALSE)</f>
        <v>sicro 5213401</v>
      </c>
      <c r="L118" s="33"/>
      <c r="M118" s="33"/>
      <c r="N118" s="33"/>
      <c r="O118" s="32"/>
      <c r="P118" s="34"/>
      <c r="Q118" s="32"/>
      <c r="R118" s="56"/>
      <c r="S118" s="48"/>
      <c r="T118" s="49"/>
      <c r="U118" s="49"/>
      <c r="Y118" s="63"/>
      <c r="Z118" s="63"/>
    </row>
    <row r="119" spans="1:26" s="47" customFormat="1" ht="21" customHeight="1">
      <c r="A119" s="74" t="s">
        <v>360</v>
      </c>
      <c r="B119" s="116" t="str">
        <f>VLOOKUP($A119,$A$16:$J$63,2,FALSE)</f>
        <v>SINALIZAÇÃO HORIZONTAL ÁREAS ESPECIAIS</v>
      </c>
      <c r="C119" s="117" t="str">
        <f>VLOOKUP($A119,$A$16:$J$63,3,FALSE)</f>
        <v>m²</v>
      </c>
      <c r="D119" s="95">
        <v>21.6</v>
      </c>
      <c r="E119" s="87">
        <f>VLOOKUP($A119,$A$16:$J$63,5,FALSE)</f>
        <v>40.97</v>
      </c>
      <c r="F119" s="87">
        <f>VLOOKUP($A119,$A$16:$J$63,6,FALSE)</f>
        <v>8.39</v>
      </c>
      <c r="G119" s="87">
        <f>VLOOKUP($A119,$A$16:$J$63,7,FALSE)</f>
        <v>49.36</v>
      </c>
      <c r="H119" s="88">
        <f t="shared" si="63"/>
        <v>884.95</v>
      </c>
      <c r="I119" s="88">
        <f t="shared" si="64"/>
        <v>181.22</v>
      </c>
      <c r="J119" s="87">
        <f t="shared" si="65"/>
        <v>1066.17</v>
      </c>
      <c r="K119" s="263" t="str">
        <f>VLOOKUP($A119,$A$16:$K$63,11,FALSE)</f>
        <v>sicro 5213405</v>
      </c>
      <c r="L119" s="33"/>
      <c r="M119" s="33"/>
      <c r="N119" s="33"/>
      <c r="O119" s="32"/>
      <c r="P119" s="34"/>
      <c r="Q119" s="32"/>
      <c r="R119" s="56"/>
      <c r="S119" s="48"/>
      <c r="T119" s="49"/>
      <c r="U119" s="49"/>
      <c r="Y119" s="63"/>
      <c r="Z119" s="63"/>
    </row>
    <row r="120" spans="1:26" s="47" customFormat="1" ht="21" customHeight="1">
      <c r="A120" s="74" t="s">
        <v>361</v>
      </c>
      <c r="B120" s="116" t="str">
        <f>VLOOKUP($A120,$A$16:$J$63,2,FALSE)</f>
        <v>PLACA TIPO R01-REGULAMENTAÇÃO (PARADA OBRIGATÓRIA) - SUPORTE METÁLICO H= 2,20M, L = 33 CM</v>
      </c>
      <c r="C120" s="117" t="str">
        <f>VLOOKUP($A120,$A$16:$J$63,3,FALSE)</f>
        <v>unid</v>
      </c>
      <c r="D120" s="95">
        <v>1</v>
      </c>
      <c r="E120" s="87">
        <f>VLOOKUP($A120,$A$16:$J$63,5,FALSE)</f>
        <v>569.09</v>
      </c>
      <c r="F120" s="87">
        <f>VLOOKUP($A120,$A$16:$J$63,6,FALSE)</f>
        <v>116.55</v>
      </c>
      <c r="G120" s="87">
        <f>VLOOKUP($A120,$A$16:$J$63,7,FALSE)</f>
        <v>685.64</v>
      </c>
      <c r="H120" s="88">
        <f t="shared" ref="H120:H121" si="66">J120-I120</f>
        <v>569.09</v>
      </c>
      <c r="I120" s="88">
        <f t="shared" ref="I120:I121" si="67">TRUNC(D120*F120,2)</f>
        <v>116.55</v>
      </c>
      <c r="J120" s="87">
        <f t="shared" ref="J120:J121" si="68">TRUNC(D120*G120,2)</f>
        <v>685.64</v>
      </c>
      <c r="K120" s="263" t="str">
        <f>VLOOKUP($A120,$A$16:$K$63,11,FALSE)</f>
        <v>34723+21014</v>
      </c>
      <c r="L120" s="33"/>
      <c r="M120" s="33"/>
      <c r="N120" s="33"/>
      <c r="O120" s="32"/>
      <c r="P120" s="34"/>
      <c r="Q120" s="32"/>
      <c r="R120" s="56"/>
      <c r="S120" s="48"/>
      <c r="T120" s="49"/>
      <c r="U120" s="49"/>
      <c r="Y120" s="63"/>
      <c r="Z120" s="63"/>
    </row>
    <row r="121" spans="1:26" s="47" customFormat="1" ht="21" customHeight="1">
      <c r="A121" s="74" t="s">
        <v>362</v>
      </c>
      <c r="B121" s="116" t="str">
        <f>VLOOKUP($A121,$A$16:$J$63,2,FALSE)</f>
        <v>PLACA TIPO A-32b PASSAGEM DE PEDESTRES  - SUPORTE METÁLICO H = 2,20M, L = 50 CM</v>
      </c>
      <c r="C121" s="117" t="str">
        <f>VLOOKUP($A121,$A$16:$J$63,3,FALSE)</f>
        <v>unid</v>
      </c>
      <c r="D121" s="95">
        <v>2</v>
      </c>
      <c r="E121" s="87">
        <f>VLOOKUP($A121,$A$16:$J$63,5,FALSE)</f>
        <v>569.09</v>
      </c>
      <c r="F121" s="87">
        <f>VLOOKUP($A121,$A$16:$J$63,6,FALSE)</f>
        <v>116.55</v>
      </c>
      <c r="G121" s="87">
        <f>VLOOKUP($A121,$A$16:$J$63,7,FALSE)</f>
        <v>685.64</v>
      </c>
      <c r="H121" s="88">
        <f t="shared" si="66"/>
        <v>1138.18</v>
      </c>
      <c r="I121" s="88">
        <f t="shared" si="67"/>
        <v>233.1</v>
      </c>
      <c r="J121" s="87">
        <f t="shared" si="68"/>
        <v>1371.28</v>
      </c>
      <c r="K121" s="263" t="str">
        <f>VLOOKUP($A121,$A$16:$K$63,11,FALSE)</f>
        <v>34723+21014</v>
      </c>
      <c r="L121" s="33"/>
      <c r="M121" s="33"/>
      <c r="N121" s="33"/>
      <c r="O121" s="32"/>
      <c r="P121" s="34"/>
      <c r="Q121" s="32"/>
      <c r="R121" s="56"/>
      <c r="S121" s="48"/>
      <c r="T121" s="49"/>
      <c r="U121" s="49"/>
      <c r="Y121" s="63"/>
      <c r="Z121" s="63"/>
    </row>
    <row r="122" spans="1:26" s="47" customFormat="1" ht="21" customHeight="1">
      <c r="A122" s="74" t="s">
        <v>363</v>
      </c>
      <c r="B122" s="116" t="str">
        <f>VLOOKUP($A122,$A$16:$J$63,2,FALSE)</f>
        <v>PLACA TIPO R19-REGULAMENTAÇÃO (VELOCIDADE MÁXIMA)  - SUPORTE METÁLICO H= 2,20M, DIAM = 50 CM</v>
      </c>
      <c r="C122" s="117" t="str">
        <f>VLOOKUP($A122,$A$16:$J$63,3,FALSE)</f>
        <v>unid</v>
      </c>
      <c r="D122" s="95">
        <v>1</v>
      </c>
      <c r="E122" s="87">
        <f>VLOOKUP($A122,$A$16:$J$63,5,FALSE)</f>
        <v>542.29</v>
      </c>
      <c r="F122" s="87">
        <f>VLOOKUP($A122,$A$16:$J$63,6,FALSE)</f>
        <v>111.07</v>
      </c>
      <c r="G122" s="87">
        <f>VLOOKUP($A122,$A$16:$J$63,7,FALSE)</f>
        <v>653.36</v>
      </c>
      <c r="H122" s="88">
        <f t="shared" si="63"/>
        <v>542.29</v>
      </c>
      <c r="I122" s="88">
        <f t="shared" si="64"/>
        <v>111.07</v>
      </c>
      <c r="J122" s="87">
        <f t="shared" si="65"/>
        <v>653.36</v>
      </c>
      <c r="K122" s="263" t="str">
        <f>VLOOKUP($A122,$A$16:$K$63,11,FALSE)</f>
        <v>34723+21014</v>
      </c>
      <c r="L122" s="33"/>
      <c r="M122" s="33"/>
      <c r="N122" s="33"/>
      <c r="O122" s="32"/>
      <c r="P122" s="34"/>
      <c r="Q122" s="32"/>
      <c r="R122" s="56"/>
      <c r="S122" s="48"/>
      <c r="T122" s="49"/>
      <c r="U122" s="49"/>
      <c r="Y122" s="63"/>
      <c r="Z122" s="63"/>
    </row>
    <row r="123" spans="1:26" s="47" customFormat="1" ht="21" customHeight="1">
      <c r="A123" s="74" t="s">
        <v>364</v>
      </c>
      <c r="B123" s="116" t="str">
        <f>VLOOKUP($A123,$A$16:$J$63,2,FALSE)</f>
        <v>TACHA BIDIRECIONAL</v>
      </c>
      <c r="C123" s="117" t="str">
        <f>VLOOKUP($A123,$A$16:$J$63,3,FALSE)</f>
        <v>unid</v>
      </c>
      <c r="D123" s="95">
        <v>21</v>
      </c>
      <c r="E123" s="87">
        <f>VLOOKUP($A123,$A$16:$J$63,5,FALSE)</f>
        <v>23.96</v>
      </c>
      <c r="F123" s="87">
        <f>VLOOKUP($A123,$A$16:$J$63,6,FALSE)</f>
        <v>4.9000000000000004</v>
      </c>
      <c r="G123" s="87">
        <f>VLOOKUP($A123,$A$16:$J$63,7,FALSE)</f>
        <v>28.86</v>
      </c>
      <c r="H123" s="88">
        <f t="shared" ref="H123" si="69">J123-I123</f>
        <v>503.15999999999997</v>
      </c>
      <c r="I123" s="88">
        <f t="shared" ref="I123" si="70">TRUNC(D123*F123,2)</f>
        <v>102.9</v>
      </c>
      <c r="J123" s="87">
        <f t="shared" ref="J123" si="71">TRUNC(D123*G123,2)</f>
        <v>606.05999999999995</v>
      </c>
      <c r="K123" s="263" t="str">
        <f>VLOOKUP($A123,$A$16:$K$63,11,FALSE)</f>
        <v>sicro 5219606</v>
      </c>
      <c r="L123" s="33"/>
      <c r="M123" s="33"/>
      <c r="N123" s="33"/>
      <c r="O123" s="32"/>
      <c r="P123" s="34"/>
      <c r="Q123" s="32"/>
      <c r="R123" s="56"/>
      <c r="S123" s="48"/>
      <c r="T123" s="49"/>
      <c r="U123" s="49"/>
      <c r="Y123" s="63"/>
      <c r="Z123" s="63"/>
    </row>
    <row r="124" spans="1:26" s="47" customFormat="1" ht="21" customHeight="1">
      <c r="A124" s="76" t="str">
        <f>CONCATENATE("TOTAL DO ITEM ",A116," - ",B116)</f>
        <v>TOTAL DO ITEM 5 - SINALIZAÇÃO</v>
      </c>
      <c r="B124" s="77"/>
      <c r="C124" s="100"/>
      <c r="D124" s="100"/>
      <c r="E124" s="101"/>
      <c r="F124" s="101"/>
      <c r="G124" s="101"/>
      <c r="H124" s="91">
        <f>SUM(H117:H123)</f>
        <v>4867.07</v>
      </c>
      <c r="I124" s="91">
        <f>SUM(I117:I123)</f>
        <v>995.89</v>
      </c>
      <c r="J124" s="91">
        <f>SUM(J117:J123)</f>
        <v>5862.9599999999991</v>
      </c>
      <c r="K124" s="266"/>
      <c r="L124" s="33"/>
      <c r="M124" s="33"/>
      <c r="N124" s="33"/>
      <c r="O124" s="32"/>
      <c r="P124" s="34"/>
      <c r="Q124" s="32"/>
      <c r="R124" s="56"/>
      <c r="S124" s="48"/>
      <c r="T124" s="49"/>
      <c r="U124" s="49"/>
      <c r="Y124" s="63"/>
      <c r="Z124" s="63"/>
    </row>
    <row r="125" spans="1:26" s="47" customFormat="1" ht="21" customHeight="1">
      <c r="A125" s="342" t="str">
        <f>CONCATENATE("TOTAL ORÇAMENTO - ",B73)</f>
        <v>TOTAL ORÇAMENTO - LINHA SÍTIO - RUA DA ESCOLA</v>
      </c>
      <c r="B125" s="343"/>
      <c r="C125" s="344"/>
      <c r="D125" s="344"/>
      <c r="E125" s="345"/>
      <c r="F125" s="345"/>
      <c r="G125" s="345"/>
      <c r="H125" s="349">
        <f>H85+H94+H105+H115+H124</f>
        <v>131067.37</v>
      </c>
      <c r="I125" s="349">
        <f>I85+I94+I105+I115+I124</f>
        <v>28305.699999999997</v>
      </c>
      <c r="J125" s="349">
        <f>J85+J94+J105+J115+J124</f>
        <v>159373.06999999998</v>
      </c>
      <c r="K125" s="350"/>
      <c r="L125" s="33"/>
      <c r="M125" s="33"/>
      <c r="N125" s="33"/>
      <c r="O125" s="32"/>
      <c r="P125" s="34"/>
      <c r="Q125" s="32"/>
      <c r="R125" s="56"/>
      <c r="S125" s="48"/>
      <c r="T125" s="49"/>
      <c r="U125" s="49"/>
      <c r="Y125" s="63"/>
      <c r="Z125" s="63"/>
    </row>
    <row r="126" spans="1:26" s="47" customFormat="1" ht="21" customHeight="1">
      <c r="A126" s="102" t="str">
        <f>A64</f>
        <v>BDI ADOTADO = 24,23%</v>
      </c>
      <c r="B126" s="119"/>
      <c r="E126" s="105"/>
      <c r="F126" s="105"/>
      <c r="H126" s="107"/>
      <c r="I126" s="107"/>
      <c r="J126" s="108"/>
      <c r="K126" s="107"/>
      <c r="R126" s="56"/>
      <c r="S126" s="48"/>
      <c r="T126" s="49"/>
      <c r="U126" s="49"/>
      <c r="Y126" s="63"/>
      <c r="Z126" s="63"/>
    </row>
    <row r="127" spans="1:26" s="47" customFormat="1" ht="21" customHeight="1">
      <c r="A127" s="102" t="s">
        <v>397</v>
      </c>
      <c r="B127" s="119"/>
      <c r="E127" s="105"/>
      <c r="F127" s="105"/>
      <c r="H127" s="107"/>
      <c r="I127" s="107"/>
      <c r="J127" s="108"/>
      <c r="K127" s="107"/>
      <c r="R127" s="56"/>
      <c r="S127" s="48"/>
      <c r="T127" s="49"/>
      <c r="U127" s="49"/>
      <c r="Y127" s="63"/>
      <c r="Z127" s="63"/>
    </row>
    <row r="128" spans="1:26" s="47" customFormat="1" ht="21" customHeight="1">
      <c r="A128" s="102" t="s">
        <v>398</v>
      </c>
      <c r="E128" s="105"/>
      <c r="H128" s="107"/>
      <c r="I128" s="107"/>
      <c r="J128" s="108"/>
      <c r="K128" s="107"/>
      <c r="R128" s="56"/>
      <c r="S128" s="48"/>
      <c r="T128" s="49"/>
      <c r="U128" s="49"/>
      <c r="Y128" s="63"/>
      <c r="Z128" s="63"/>
    </row>
    <row r="129" spans="1:26" ht="21.95" customHeight="1">
      <c r="B129" s="194"/>
      <c r="F129" s="335"/>
    </row>
    <row r="130" spans="1:26" ht="21.95" customHeight="1">
      <c r="B130" s="364" t="str">
        <f>$B$68</f>
        <v>Eng. Civil Lorenzo Schnorr Fornari</v>
      </c>
      <c r="F130" s="359" t="str">
        <f>$F$68</f>
        <v>Prefeitura Municipal</v>
      </c>
    </row>
    <row r="131" spans="1:26" ht="21.95" customHeight="1">
      <c r="B131" s="364" t="str">
        <f>$B$69</f>
        <v>CREA RS247702</v>
      </c>
      <c r="F131" s="359" t="str">
        <f>$F$69</f>
        <v>de Cruzeiro do Sul/RS</v>
      </c>
    </row>
    <row r="133" spans="1:26" s="47" customFormat="1" ht="21" customHeight="1">
      <c r="A133" s="46"/>
      <c r="B133" s="339"/>
      <c r="E133" s="105"/>
      <c r="F133" s="105"/>
      <c r="H133" s="107"/>
      <c r="I133" s="107"/>
      <c r="J133" s="108"/>
      <c r="K133" s="107"/>
      <c r="R133" s="56"/>
      <c r="S133" s="48"/>
      <c r="T133" s="49"/>
      <c r="U133" s="49"/>
      <c r="Y133" s="63"/>
      <c r="Z133" s="63"/>
    </row>
    <row r="134" spans="1:26" s="47" customFormat="1" ht="21" customHeight="1">
      <c r="A134" s="46"/>
      <c r="B134" s="339"/>
      <c r="D134" s="370"/>
      <c r="E134" s="370"/>
      <c r="F134" s="370"/>
      <c r="G134" s="370"/>
      <c r="H134" s="370"/>
      <c r="I134" s="370"/>
      <c r="J134" s="108"/>
      <c r="K134" s="107"/>
      <c r="R134" s="56"/>
      <c r="S134" s="48"/>
      <c r="T134" s="49"/>
      <c r="U134" s="49"/>
      <c r="Y134" s="63"/>
      <c r="Z134" s="63"/>
    </row>
    <row r="135" spans="1:26" s="47" customFormat="1" ht="21" customHeight="1">
      <c r="A135" s="102" t="s">
        <v>21</v>
      </c>
      <c r="B135" s="102" t="s">
        <v>402</v>
      </c>
      <c r="C135" s="334"/>
      <c r="D135" s="222" t="s">
        <v>191</v>
      </c>
      <c r="E135" s="225">
        <v>85</v>
      </c>
      <c r="F135" s="341" t="s">
        <v>4</v>
      </c>
      <c r="G135" s="278"/>
      <c r="H135" s="275"/>
      <c r="I135" s="102"/>
      <c r="J135" s="102"/>
      <c r="K135" s="106"/>
      <c r="L135" s="33"/>
      <c r="M135" s="33"/>
      <c r="N135" s="33"/>
      <c r="O135" s="32"/>
      <c r="P135" s="32"/>
      <c r="Q135" s="51"/>
      <c r="R135" s="56"/>
      <c r="S135" s="48"/>
      <c r="T135" s="49"/>
      <c r="U135" s="49"/>
      <c r="Y135" s="63"/>
      <c r="Z135" s="63"/>
    </row>
    <row r="136" spans="1:26" s="47" customFormat="1" ht="21" customHeight="1">
      <c r="A136" s="102" t="s">
        <v>34</v>
      </c>
      <c r="B136" s="102" t="s">
        <v>403</v>
      </c>
      <c r="C136" s="102"/>
      <c r="D136" s="222" t="s">
        <v>190</v>
      </c>
      <c r="E136" s="225">
        <v>7</v>
      </c>
      <c r="F136" s="100" t="s">
        <v>4</v>
      </c>
      <c r="G136" s="278"/>
      <c r="H136" s="275"/>
      <c r="I136" s="102"/>
      <c r="J136" s="102"/>
      <c r="K136" s="106"/>
      <c r="L136" s="33"/>
      <c r="M136" s="33"/>
      <c r="N136" s="33"/>
      <c r="O136" s="32"/>
      <c r="P136" s="34"/>
      <c r="Q136" s="32"/>
      <c r="R136" s="56"/>
      <c r="S136" s="48"/>
      <c r="T136" s="49"/>
      <c r="U136" s="49"/>
      <c r="Y136" s="63"/>
      <c r="Z136" s="63"/>
    </row>
    <row r="137" spans="1:26" s="47" customFormat="1" ht="21" customHeight="1">
      <c r="A137" s="102"/>
      <c r="B137" s="109"/>
      <c r="C137" s="102"/>
      <c r="D137" s="222" t="s">
        <v>192</v>
      </c>
      <c r="E137" s="225">
        <v>0</v>
      </c>
      <c r="F137" s="100" t="s">
        <v>2</v>
      </c>
      <c r="G137" s="278"/>
      <c r="H137" s="275"/>
      <c r="I137" s="102"/>
      <c r="J137" s="102"/>
      <c r="K137" s="106"/>
      <c r="L137" s="33"/>
      <c r="M137" s="33"/>
      <c r="N137" s="33"/>
      <c r="O137" s="32"/>
      <c r="P137" s="34"/>
      <c r="Q137" s="32"/>
      <c r="R137" s="56"/>
      <c r="S137" s="48"/>
      <c r="T137" s="49"/>
      <c r="U137" s="49"/>
      <c r="Y137" s="63"/>
      <c r="Z137" s="63"/>
    </row>
    <row r="138" spans="1:26" s="47" customFormat="1" ht="21" customHeight="1">
      <c r="A138" s="102"/>
      <c r="B138" s="109"/>
      <c r="C138" s="102"/>
      <c r="D138" s="222" t="s">
        <v>35</v>
      </c>
      <c r="E138" s="223">
        <f>ROUND(E135*E136,2)+E137</f>
        <v>595</v>
      </c>
      <c r="F138" s="100" t="s">
        <v>2</v>
      </c>
      <c r="G138" s="279"/>
      <c r="H138" s="277"/>
      <c r="I138" s="276"/>
      <c r="J138" s="102"/>
      <c r="K138" s="106"/>
      <c r="L138" s="33"/>
      <c r="M138" s="33"/>
      <c r="N138" s="33"/>
      <c r="O138" s="32"/>
      <c r="P138" s="34"/>
      <c r="Q138" s="32"/>
      <c r="R138" s="56"/>
      <c r="S138" s="48"/>
      <c r="T138" s="49"/>
      <c r="U138" s="49"/>
      <c r="Y138" s="63"/>
      <c r="Z138" s="63"/>
    </row>
    <row r="139" spans="1:26" s="47" customFormat="1" ht="21" customHeight="1">
      <c r="A139" s="371" t="s">
        <v>6</v>
      </c>
      <c r="B139" s="373" t="s">
        <v>1</v>
      </c>
      <c r="C139" s="375" t="s">
        <v>22</v>
      </c>
      <c r="D139" s="376" t="s">
        <v>7</v>
      </c>
      <c r="E139" s="366" t="s">
        <v>86</v>
      </c>
      <c r="F139" s="366" t="s">
        <v>84</v>
      </c>
      <c r="G139" s="377" t="s">
        <v>23</v>
      </c>
      <c r="H139" s="377" t="s">
        <v>86</v>
      </c>
      <c r="I139" s="377" t="s">
        <v>84</v>
      </c>
      <c r="J139" s="366" t="s">
        <v>19</v>
      </c>
      <c r="K139" s="368" t="s">
        <v>342</v>
      </c>
      <c r="L139" s="33"/>
      <c r="M139" s="33"/>
      <c r="N139" s="33"/>
      <c r="O139" s="32"/>
      <c r="P139" s="34"/>
      <c r="Q139" s="32"/>
      <c r="R139" s="56"/>
      <c r="S139" s="48"/>
      <c r="T139" s="49"/>
      <c r="U139" s="49"/>
      <c r="Y139" s="63"/>
      <c r="Z139" s="63"/>
    </row>
    <row r="140" spans="1:26" s="47" customFormat="1" ht="21" customHeight="1">
      <c r="A140" s="372"/>
      <c r="B140" s="374"/>
      <c r="C140" s="375"/>
      <c r="D140" s="376"/>
      <c r="E140" s="367"/>
      <c r="F140" s="367"/>
      <c r="G140" s="367"/>
      <c r="H140" s="367"/>
      <c r="I140" s="367"/>
      <c r="J140" s="367"/>
      <c r="K140" s="369"/>
      <c r="L140" s="33"/>
      <c r="M140" s="33"/>
      <c r="N140" s="33"/>
      <c r="O140" s="32"/>
      <c r="P140" s="34"/>
      <c r="Q140" s="32"/>
      <c r="R140" s="56"/>
      <c r="S140" s="48"/>
      <c r="T140" s="49"/>
      <c r="U140" s="49"/>
      <c r="Y140" s="63"/>
      <c r="Z140" s="63"/>
    </row>
    <row r="141" spans="1:26" s="47" customFormat="1" ht="21" customHeight="1">
      <c r="A141" s="110"/>
      <c r="B141" s="111"/>
      <c r="C141" s="112"/>
      <c r="D141" s="113"/>
      <c r="E141" s="114"/>
      <c r="F141" s="114"/>
      <c r="G141" s="114"/>
      <c r="H141" s="114"/>
      <c r="I141" s="114"/>
      <c r="J141" s="115"/>
      <c r="K141" s="261"/>
      <c r="L141" s="33"/>
      <c r="M141" s="33"/>
      <c r="N141" s="33"/>
      <c r="O141" s="32"/>
      <c r="P141" s="34"/>
      <c r="Q141" s="32"/>
      <c r="R141" s="56"/>
      <c r="S141" s="48"/>
      <c r="T141" s="49"/>
      <c r="U141" s="49"/>
      <c r="Y141" s="63"/>
      <c r="Z141" s="63"/>
    </row>
    <row r="142" spans="1:26" s="47" customFormat="1" ht="21" customHeight="1">
      <c r="A142" s="72">
        <v>1</v>
      </c>
      <c r="B142" s="77" t="str">
        <f>VLOOKUP($A142,$A$16:$J$63,2,FALSE)</f>
        <v>SERVIÇOS INICIAIS</v>
      </c>
      <c r="C142" s="93"/>
      <c r="D142" s="82"/>
      <c r="E142" s="83"/>
      <c r="F142" s="83"/>
      <c r="G142" s="83"/>
      <c r="H142" s="82"/>
      <c r="I142" s="82"/>
      <c r="J142" s="83"/>
      <c r="K142" s="262"/>
      <c r="L142" s="33"/>
      <c r="M142" s="33"/>
      <c r="N142" s="33"/>
      <c r="O142" s="32"/>
      <c r="P142" s="34"/>
      <c r="Q142" s="32"/>
      <c r="R142" s="56"/>
      <c r="S142" s="48"/>
      <c r="T142" s="49"/>
      <c r="U142" s="49"/>
      <c r="Y142" s="63"/>
      <c r="Z142" s="63"/>
    </row>
    <row r="143" spans="1:26" s="47" customFormat="1" ht="21" customHeight="1">
      <c r="A143" s="74" t="s">
        <v>8</v>
      </c>
      <c r="B143" s="116" t="str">
        <f>VLOOKUP($A143,$A$16:$J$63,2,FALSE)</f>
        <v>IMPLANTAÇÃO DE PLACA DE OBRA (1,20X2,40M)</v>
      </c>
      <c r="C143" s="117" t="str">
        <f>VLOOKUP($A143,$A$16:$J$63,3,FALSE)</f>
        <v>unid</v>
      </c>
      <c r="D143" s="86"/>
      <c r="E143" s="87">
        <f>VLOOKUP($A143,$A$16:$J$63,5,FALSE)</f>
        <v>2327.1999999999998</v>
      </c>
      <c r="F143" s="87">
        <f>VLOOKUP($A143,$A$16:$J$63,6,FALSE)</f>
        <v>581.79999999999995</v>
      </c>
      <c r="G143" s="87">
        <f>VLOOKUP($A143,$A$16:$J$63,7,FALSE)</f>
        <v>2909</v>
      </c>
      <c r="H143" s="88">
        <f>J143-I143</f>
        <v>0</v>
      </c>
      <c r="I143" s="88">
        <f>TRUNC(D143*F143,2)</f>
        <v>0</v>
      </c>
      <c r="J143" s="87">
        <f>TRUNC(D143*G143,2)</f>
        <v>0</v>
      </c>
      <c r="K143" s="263" t="str">
        <f>VLOOKUP($A143,$A$16:$K$63,11,FALSE)</f>
        <v>CPU 01</v>
      </c>
      <c r="L143" s="33"/>
      <c r="M143" s="33"/>
      <c r="N143" s="33"/>
      <c r="O143" s="32"/>
      <c r="P143" s="34"/>
      <c r="Q143" s="32"/>
      <c r="R143" s="56"/>
      <c r="S143" s="48"/>
      <c r="T143" s="49"/>
      <c r="U143" s="49"/>
      <c r="Y143" s="63"/>
      <c r="Z143" s="63"/>
    </row>
    <row r="144" spans="1:26" s="47" customFormat="1" ht="21" customHeight="1">
      <c r="A144" s="74" t="s">
        <v>9</v>
      </c>
      <c r="B144" s="116" t="str">
        <f>VLOOKUP($A144,$A$16:$J$63,2,FALSE)</f>
        <v>SERVIÇOS TOPOGRÁFICOS PARA PAVIMENTAÇÃO</v>
      </c>
      <c r="C144" s="117" t="str">
        <f>VLOOKUP($A144,$A$16:$J$63,3,FALSE)</f>
        <v>m²</v>
      </c>
      <c r="D144" s="95">
        <f>E138</f>
        <v>595</v>
      </c>
      <c r="E144" s="87">
        <f>VLOOKUP($A144,$A$16:$J$63,5,FALSE)</f>
        <v>0.15000000000000002</v>
      </c>
      <c r="F144" s="87">
        <f>VLOOKUP($A144,$A$16:$J$63,6,FALSE)</f>
        <v>0.6</v>
      </c>
      <c r="G144" s="87">
        <f>VLOOKUP($A144,$A$16:$J$63,7,FALSE)</f>
        <v>0.75</v>
      </c>
      <c r="H144" s="88">
        <f>J144-I144</f>
        <v>89.25</v>
      </c>
      <c r="I144" s="88">
        <f>TRUNC(D144*F144,2)</f>
        <v>357</v>
      </c>
      <c r="J144" s="87">
        <f>TRUNC(D144*G144,2)</f>
        <v>446.25</v>
      </c>
      <c r="K144" s="263" t="str">
        <f>VLOOKUP($A144,$A$16:$K$63,11,FALSE)</f>
        <v>CPU 02</v>
      </c>
      <c r="L144" s="33"/>
      <c r="M144" s="33"/>
      <c r="N144" s="33"/>
      <c r="O144" s="32"/>
      <c r="P144" s="34"/>
      <c r="Q144" s="32"/>
      <c r="R144" s="56"/>
      <c r="S144" s="48"/>
      <c r="T144" s="49"/>
      <c r="U144" s="49"/>
      <c r="Y144" s="63"/>
      <c r="Z144" s="63"/>
    </row>
    <row r="145" spans="1:26" s="47" customFormat="1" ht="21" customHeight="1">
      <c r="A145" s="74" t="s">
        <v>10</v>
      </c>
      <c r="B145" s="116" t="str">
        <f>VLOOKUP($A145,$A$16:$J$63,2,FALSE)</f>
        <v>MOBILIZAÇÃO E DESMOBILIZAÇÃO DE EQUIPAMENTOS</v>
      </c>
      <c r="C145" s="117" t="str">
        <f>VLOOKUP($A145,$A$16:$J$63,3,FALSE)</f>
        <v>unid</v>
      </c>
      <c r="D145" s="86"/>
      <c r="E145" s="87">
        <f>VLOOKUP($A145,$A$16:$J$63,5,FALSE)</f>
        <v>2637.3999999999996</v>
      </c>
      <c r="F145" s="87">
        <f>VLOOKUP($A145,$A$16:$J$63,6,FALSE)</f>
        <v>659.34</v>
      </c>
      <c r="G145" s="87">
        <f>VLOOKUP($A145,$A$16:$J$63,7,FALSE)</f>
        <v>3296.74</v>
      </c>
      <c r="H145" s="88">
        <f>J145-I145</f>
        <v>0</v>
      </c>
      <c r="I145" s="88">
        <f>TRUNC(D145*F145,2)</f>
        <v>0</v>
      </c>
      <c r="J145" s="87">
        <f>TRUNC(D145*G145,2)</f>
        <v>0</v>
      </c>
      <c r="K145" s="263" t="str">
        <f>VLOOKUP($A145,$A$16:$K$63,11,FALSE)</f>
        <v>CPU 03</v>
      </c>
      <c r="L145" s="33"/>
      <c r="M145" s="33"/>
      <c r="N145" s="33"/>
      <c r="O145" s="32"/>
      <c r="P145" s="34"/>
      <c r="Q145" s="32"/>
      <c r="R145" s="56"/>
      <c r="S145" s="48"/>
      <c r="T145" s="49"/>
      <c r="U145" s="49"/>
      <c r="Y145" s="63"/>
      <c r="Z145" s="63"/>
    </row>
    <row r="146" spans="1:26" s="47" customFormat="1" ht="21" customHeight="1">
      <c r="A146" s="74" t="s">
        <v>11</v>
      </c>
      <c r="B146" s="116" t="str">
        <f>VLOOKUP($A146,$A$16:$J$63,2,FALSE)</f>
        <v>ADMINISTRAÇÃO LOCAL DE OBRA</v>
      </c>
      <c r="C146" s="117" t="str">
        <f>VLOOKUP($A146,$A$16:$J$63,3,FALSE)</f>
        <v>mês</v>
      </c>
      <c r="D146" s="86">
        <v>1</v>
      </c>
      <c r="E146" s="87">
        <f>VLOOKUP($A146,$A$16:$J$63,5,FALSE)</f>
        <v>2759.8999999999996</v>
      </c>
      <c r="F146" s="87">
        <f>VLOOKUP($A146,$A$16:$J$63,6,FALSE)</f>
        <v>11039.56</v>
      </c>
      <c r="G146" s="87">
        <f>VLOOKUP($A146,$A$16:$J$63,7,FALSE)</f>
        <v>13799.46</v>
      </c>
      <c r="H146" s="88">
        <f>J146-I146</f>
        <v>2759.8999999999996</v>
      </c>
      <c r="I146" s="88">
        <f>TRUNC(D146*F146,2)</f>
        <v>11039.56</v>
      </c>
      <c r="J146" s="87">
        <f>TRUNC(D146*G146,2)</f>
        <v>13799.46</v>
      </c>
      <c r="K146" s="263" t="str">
        <f>VLOOKUP($A146,$A$16:$K$63,11,FALSE)</f>
        <v>CPU 04</v>
      </c>
      <c r="L146" s="33"/>
      <c r="M146" s="33"/>
      <c r="N146" s="33"/>
      <c r="O146" s="32"/>
      <c r="P146" s="34"/>
      <c r="Q146" s="32"/>
      <c r="R146" s="56"/>
      <c r="S146" s="48"/>
      <c r="T146" s="49"/>
      <c r="U146" s="49"/>
      <c r="Y146" s="63"/>
      <c r="Z146" s="63"/>
    </row>
    <row r="147" spans="1:26" s="47" customFormat="1" ht="21" customHeight="1">
      <c r="A147" s="76" t="str">
        <f>CONCATENATE("TOTAL DO ITEM ",A142," - ",B142)</f>
        <v>TOTAL DO ITEM 1 - SERVIÇOS INICIAIS</v>
      </c>
      <c r="B147" s="77"/>
      <c r="C147" s="100"/>
      <c r="D147" s="100"/>
      <c r="E147" s="101"/>
      <c r="F147" s="101"/>
      <c r="G147" s="101"/>
      <c r="H147" s="91">
        <f>SUM(H143:H146)</f>
        <v>2849.1499999999996</v>
      </c>
      <c r="I147" s="91">
        <f>SUM(I143:I146)</f>
        <v>11396.56</v>
      </c>
      <c r="J147" s="92">
        <f>SUM(J143:J146)</f>
        <v>14245.71</v>
      </c>
      <c r="K147" s="264"/>
      <c r="L147" s="33"/>
      <c r="M147" s="33"/>
      <c r="N147" s="33"/>
      <c r="O147" s="32"/>
      <c r="P147" s="34"/>
      <c r="Q147" s="32"/>
      <c r="R147" s="56"/>
      <c r="S147" s="48"/>
      <c r="T147" s="49"/>
      <c r="U147" s="49"/>
      <c r="Y147" s="63"/>
      <c r="Z147" s="63"/>
    </row>
    <row r="148" spans="1:26" s="47" customFormat="1" ht="21" customHeight="1">
      <c r="A148" s="78">
        <v>2</v>
      </c>
      <c r="B148" s="77" t="str">
        <f>VLOOKUP($A148,$A$16:$J$63,2,FALSE)</f>
        <v>TERRAPLENAGEM</v>
      </c>
      <c r="C148" s="93"/>
      <c r="D148" s="82"/>
      <c r="E148" s="90"/>
      <c r="F148" s="90"/>
      <c r="G148" s="90"/>
      <c r="H148" s="90"/>
      <c r="I148" s="90"/>
      <c r="J148" s="94"/>
      <c r="K148" s="265"/>
      <c r="L148" s="33"/>
      <c r="M148" s="33"/>
      <c r="N148" s="33"/>
      <c r="O148" s="32"/>
      <c r="P148" s="34"/>
      <c r="Q148" s="32"/>
      <c r="R148" s="56"/>
      <c r="S148" s="48"/>
      <c r="T148" s="49"/>
      <c r="U148" s="49"/>
      <c r="Y148" s="63"/>
      <c r="Z148" s="63"/>
    </row>
    <row r="149" spans="1:26" s="47" customFormat="1" ht="30">
      <c r="A149" s="74" t="s">
        <v>13</v>
      </c>
      <c r="B149" s="116" t="str">
        <f>VLOOKUP($A149,$A$16:$J$63,2,FALSE)</f>
        <v>ESCAVAÇÃO HORIZONTAL, INCLUINDO CARGA, DESCARGA E TRANSPORTE EM SOLO DE 1A CATEGORIA COM TRATOR DE ESTEIRAS (125HP/LÂMINA: 2,70M3) E CAMINHÃO BASCULANTE DE 10M3, DMT ATÉ 200M. AF_07/2020</v>
      </c>
      <c r="C149" s="117" t="str">
        <f>VLOOKUP($A149,$A$16:$J$63,3,FALSE)</f>
        <v>m³</v>
      </c>
      <c r="D149" s="95">
        <v>181.46</v>
      </c>
      <c r="E149" s="87">
        <f>VLOOKUP($A149,$A$16:$J$63,5,FALSE)</f>
        <v>11.85</v>
      </c>
      <c r="F149" s="87">
        <f>VLOOKUP($A149,$A$16:$J$63,6,FALSE)</f>
        <v>2.25</v>
      </c>
      <c r="G149" s="87">
        <f>VLOOKUP($A149,$A$16:$J$63,7,FALSE)</f>
        <v>14.1</v>
      </c>
      <c r="H149" s="88">
        <f t="shared" ref="H149:H155" si="72">J149-I149</f>
        <v>2150.3000000000002</v>
      </c>
      <c r="I149" s="88">
        <f t="shared" ref="I149:I155" si="73">TRUNC(D149*F149,2)</f>
        <v>408.28</v>
      </c>
      <c r="J149" s="87">
        <f t="shared" ref="J149:J155" si="74">TRUNC(D149*G149,2)</f>
        <v>2558.58</v>
      </c>
      <c r="K149" s="263">
        <f>VLOOKUP($A149,$A$16:$K$63,11,FALSE)</f>
        <v>101138</v>
      </c>
      <c r="L149" s="33"/>
      <c r="M149" s="33"/>
      <c r="N149" s="33"/>
      <c r="O149" s="32"/>
      <c r="P149" s="34"/>
      <c r="Q149" s="32"/>
      <c r="R149" s="56"/>
      <c r="S149" s="48"/>
      <c r="T149" s="49"/>
      <c r="U149" s="49"/>
      <c r="Y149" s="63"/>
      <c r="Z149" s="63"/>
    </row>
    <row r="150" spans="1:26" s="47" customFormat="1" ht="30">
      <c r="A150" s="74" t="s">
        <v>14</v>
      </c>
      <c r="B150" s="116" t="str">
        <f>VLOOKUP($A150,$A$16:$J$63,2,FALSE)</f>
        <v>TRANSPORTE COM CAMINHÃO BASCULANTE DE 10 M³, EM VIA URBANA EM REVESTIMENTO PRIMÁRIO, DMT 1,0 KM (UNIDADE: M3XKM). AF_07/2020</v>
      </c>
      <c r="C150" s="117" t="str">
        <f>VLOOKUP($A150,$A$16:$J$63,3,FALSE)</f>
        <v>m³ x km</v>
      </c>
      <c r="D150" s="86">
        <v>226.83</v>
      </c>
      <c r="E150" s="87">
        <f>VLOOKUP($A150,$A$16:$J$63,5,FALSE)</f>
        <v>2</v>
      </c>
      <c r="F150" s="87">
        <f>VLOOKUP($A150,$A$16:$J$63,6,FALSE)</f>
        <v>0.17</v>
      </c>
      <c r="G150" s="87">
        <f>VLOOKUP($A150,$A$16:$J$63,7,FALSE)</f>
        <v>2.17</v>
      </c>
      <c r="H150" s="88">
        <f t="shared" si="72"/>
        <v>453.66</v>
      </c>
      <c r="I150" s="88">
        <f>TRUNC(D150*F150,2)</f>
        <v>38.56</v>
      </c>
      <c r="J150" s="87">
        <f>TRUNC(D150*G150,2)</f>
        <v>492.22</v>
      </c>
      <c r="K150" s="263">
        <f>VLOOKUP($A150,$A$16:$K$63,11,FALSE)</f>
        <v>93589</v>
      </c>
      <c r="L150" s="33"/>
      <c r="M150" s="33"/>
      <c r="N150" s="33"/>
      <c r="O150" s="43">
        <v>13.3</v>
      </c>
      <c r="P150" s="34"/>
      <c r="Q150" s="32"/>
      <c r="R150" s="56"/>
      <c r="S150" s="48"/>
      <c r="T150" s="49"/>
      <c r="U150" s="49"/>
      <c r="Y150" s="63"/>
      <c r="Z150" s="63"/>
    </row>
    <row r="151" spans="1:26" s="47" customFormat="1" ht="24.75" customHeight="1">
      <c r="A151" s="74" t="s">
        <v>15</v>
      </c>
      <c r="B151" s="116" t="str">
        <f>VLOOKUP($A151,$A$16:$J$63,2,FALSE)</f>
        <v>REMOÇÃO DE SOLOS MOLES PARA ATÉ 600 MCS</v>
      </c>
      <c r="C151" s="117" t="str">
        <f>VLOOKUP($A151,$A$16:$J$63,3,FALSE)</f>
        <v>m³</v>
      </c>
      <c r="D151" s="86">
        <v>20</v>
      </c>
      <c r="E151" s="87">
        <f>VLOOKUP($A151,$A$16:$J$63,5,FALSE)</f>
        <v>10.86</v>
      </c>
      <c r="F151" s="87">
        <f>VLOOKUP($A151,$A$16:$J$63,6,FALSE)</f>
        <v>2.06</v>
      </c>
      <c r="G151" s="87">
        <f>VLOOKUP($A151,$A$16:$J$63,7,FALSE)</f>
        <v>12.92</v>
      </c>
      <c r="H151" s="88">
        <f t="shared" si="72"/>
        <v>217.2</v>
      </c>
      <c r="I151" s="88">
        <f>TRUNC(D151*F151,2)</f>
        <v>41.2</v>
      </c>
      <c r="J151" s="87">
        <f>TRUNC(D151*G151,2)</f>
        <v>258.39999999999998</v>
      </c>
      <c r="K151" s="263" t="str">
        <f>VLOOKUP($A151,$A$16:$K$63,11,FALSE)</f>
        <v>sicro 5502927</v>
      </c>
      <c r="L151" s="33"/>
      <c r="M151" s="33"/>
      <c r="N151" s="33"/>
      <c r="P151" s="34"/>
      <c r="Q151" s="32"/>
      <c r="R151" s="56"/>
      <c r="S151" s="48"/>
      <c r="T151" s="49"/>
      <c r="U151" s="49"/>
      <c r="Y151" s="63"/>
      <c r="Z151" s="63"/>
    </row>
    <row r="152" spans="1:26" s="47" customFormat="1" ht="21" customHeight="1">
      <c r="A152" s="74" t="s">
        <v>16</v>
      </c>
      <c r="B152" s="116" t="str">
        <f>VLOOKUP($A152,$A$16:$J$63,2,FALSE)</f>
        <v>AQUISIÇÃO DE ARGILA PROVENIENTE DE JAZIDA</v>
      </c>
      <c r="C152" s="117" t="str">
        <f>VLOOKUP($A152,$A$16:$J$63,3,FALSE)</f>
        <v>m³</v>
      </c>
      <c r="D152" s="86">
        <v>20</v>
      </c>
      <c r="E152" s="87">
        <f>VLOOKUP($A152,$A$16:$J$63,5,FALSE)</f>
        <v>19.23</v>
      </c>
      <c r="F152" s="87">
        <f>VLOOKUP($A152,$A$16:$J$63,6,FALSE)</f>
        <v>3.66</v>
      </c>
      <c r="G152" s="87">
        <f>VLOOKUP($A152,$A$16:$J$63,7,FALSE)</f>
        <v>22.89</v>
      </c>
      <c r="H152" s="88">
        <f t="shared" si="72"/>
        <v>384.6</v>
      </c>
      <c r="I152" s="88">
        <f t="shared" si="73"/>
        <v>73.2</v>
      </c>
      <c r="J152" s="87">
        <f t="shared" si="74"/>
        <v>457.8</v>
      </c>
      <c r="K152" s="263">
        <f>VLOOKUP($A152,$A$16:$K$63,11,FALSE)</f>
        <v>6077</v>
      </c>
      <c r="L152" s="33"/>
      <c r="M152" s="33"/>
      <c r="N152" s="33"/>
      <c r="O152" s="64"/>
      <c r="P152" s="34"/>
      <c r="Q152" s="32"/>
      <c r="R152" s="56"/>
      <c r="S152" s="48"/>
      <c r="T152" s="49"/>
      <c r="U152" s="49"/>
      <c r="Y152" s="63"/>
      <c r="Z152" s="63"/>
    </row>
    <row r="153" spans="1:26" s="47" customFormat="1" ht="30">
      <c r="A153" s="74" t="s">
        <v>17</v>
      </c>
      <c r="B153" s="116" t="str">
        <f>VLOOKUP($A153,$A$16:$J$63,2,FALSE)</f>
        <v>TRANSPORTE COM CAMINHÃO BASCULANTE DE 10 M³, EM VIA URBANA EM REVESTIMENTO PRIMÁRIO, DMT 15,40 KM (UNIDADE: M3XKM). AF_07/2020</v>
      </c>
      <c r="C153" s="117" t="str">
        <f>VLOOKUP($A153,$A$16:$J$63,3,FALSE)</f>
        <v>m³ x km</v>
      </c>
      <c r="D153" s="86">
        <f>ROUND(D152*1.25*$O$153,2)</f>
        <v>385</v>
      </c>
      <c r="E153" s="87">
        <f>VLOOKUP($A153,$A$16:$J$63,5,FALSE)</f>
        <v>2</v>
      </c>
      <c r="F153" s="87">
        <f>VLOOKUP($A153,$A$16:$J$63,6,FALSE)</f>
        <v>0.17</v>
      </c>
      <c r="G153" s="87">
        <f>VLOOKUP($A153,$A$16:$J$63,7,FALSE)</f>
        <v>2.17</v>
      </c>
      <c r="H153" s="88">
        <f t="shared" si="72"/>
        <v>770</v>
      </c>
      <c r="I153" s="88">
        <f t="shared" si="73"/>
        <v>65.45</v>
      </c>
      <c r="J153" s="87">
        <f t="shared" si="74"/>
        <v>835.45</v>
      </c>
      <c r="K153" s="263">
        <f>VLOOKUP($A153,$A$16:$K$63,11,FALSE)</f>
        <v>93589</v>
      </c>
      <c r="L153" s="33"/>
      <c r="M153" s="33"/>
      <c r="N153" s="33"/>
      <c r="O153" s="43">
        <v>15.4</v>
      </c>
      <c r="P153" s="34"/>
      <c r="Q153" s="32"/>
      <c r="R153" s="56"/>
      <c r="S153" s="48"/>
      <c r="T153" s="49"/>
      <c r="U153" s="49"/>
      <c r="Y153" s="63"/>
      <c r="Z153" s="63"/>
    </row>
    <row r="154" spans="1:26" s="47" customFormat="1" ht="30">
      <c r="A154" s="74" t="s">
        <v>18</v>
      </c>
      <c r="B154" s="116" t="str">
        <f>VLOOKUP($A154,$A$16:$J$63,2,FALSE)</f>
        <v>EXECUÇÃO E COMPACTAÇÃO DE ATERRO COM SOLO PREDOMINANTEMENTE ARGILOSO - EXCLUSIVE SOLO, ESCAVAÇÃO, CARGA E TRANSPORTE. AF_11/2019</v>
      </c>
      <c r="C154" s="117" t="str">
        <f>VLOOKUP($A154,$A$16:$J$63,3,FALSE)</f>
        <v>m³</v>
      </c>
      <c r="D154" s="86">
        <v>20</v>
      </c>
      <c r="E154" s="87">
        <f>VLOOKUP($A154,$A$16:$J$63,5,FALSE)</f>
        <v>10.329999999999998</v>
      </c>
      <c r="F154" s="87">
        <f>VLOOKUP($A154,$A$16:$J$63,6,FALSE)</f>
        <v>1.96</v>
      </c>
      <c r="G154" s="87">
        <f>VLOOKUP($A154,$A$16:$J$63,7,FALSE)</f>
        <v>12.29</v>
      </c>
      <c r="H154" s="88">
        <f t="shared" si="72"/>
        <v>206.60000000000002</v>
      </c>
      <c r="I154" s="88">
        <f t="shared" si="73"/>
        <v>39.200000000000003</v>
      </c>
      <c r="J154" s="87">
        <f t="shared" si="74"/>
        <v>245.8</v>
      </c>
      <c r="K154" s="263">
        <f>VLOOKUP($A154,$A$16:$K$63,11,FALSE)</f>
        <v>96385</v>
      </c>
      <c r="L154" s="33"/>
      <c r="M154" s="33"/>
      <c r="N154" s="33"/>
      <c r="P154" s="34"/>
      <c r="Q154" s="32"/>
      <c r="R154" s="56"/>
      <c r="S154" s="48"/>
      <c r="T154" s="49"/>
      <c r="U154" s="49"/>
      <c r="Y154" s="63"/>
      <c r="Z154" s="63"/>
    </row>
    <row r="155" spans="1:26" s="47" customFormat="1" ht="23.25" customHeight="1">
      <c r="A155" s="74" t="s">
        <v>368</v>
      </c>
      <c r="B155" s="116" t="str">
        <f>VLOOKUP($A155,$A$16:$J$63,2,FALSE)</f>
        <v>REGULARIZAÇÃO E COMPACTAÇÃO DE SUBLEITO DE SOLO PREDOMINANTEMENTE ARGILOSO. AF_11/2019</v>
      </c>
      <c r="C155" s="117" t="str">
        <f>VLOOKUP($A155,$A$16:$J$63,3,FALSE)</f>
        <v>m²</v>
      </c>
      <c r="D155" s="86">
        <v>703.8</v>
      </c>
      <c r="E155" s="87">
        <f>VLOOKUP($A155,$A$16:$J$63,5,FALSE)</f>
        <v>2.2200000000000002</v>
      </c>
      <c r="F155" s="87">
        <f>VLOOKUP($A155,$A$16:$J$63,6,FALSE)</f>
        <v>0.42</v>
      </c>
      <c r="G155" s="87">
        <f>VLOOKUP($A155,$A$16:$J$63,7,FALSE)</f>
        <v>2.64</v>
      </c>
      <c r="H155" s="88">
        <f t="shared" si="72"/>
        <v>1562.44</v>
      </c>
      <c r="I155" s="88">
        <f t="shared" si="73"/>
        <v>295.58999999999997</v>
      </c>
      <c r="J155" s="87">
        <f t="shared" si="74"/>
        <v>1858.03</v>
      </c>
      <c r="K155" s="263">
        <f>VLOOKUP($A155,$A$16:$K$63,11,FALSE)</f>
        <v>100576</v>
      </c>
      <c r="L155" s="33"/>
      <c r="M155" s="33"/>
      <c r="N155" s="33"/>
      <c r="O155" s="64"/>
      <c r="P155" s="34"/>
      <c r="Q155" s="32"/>
      <c r="R155" s="56"/>
      <c r="S155" s="48"/>
      <c r="T155" s="49"/>
      <c r="U155" s="49"/>
      <c r="Y155" s="63"/>
      <c r="Z155" s="63"/>
    </row>
    <row r="156" spans="1:26" s="47" customFormat="1" ht="21" customHeight="1">
      <c r="A156" s="76" t="str">
        <f>CONCATENATE("TOTAL DO ITEM ",A148," - ",B148)</f>
        <v>TOTAL DO ITEM 2 - TERRAPLENAGEM</v>
      </c>
      <c r="B156" s="118"/>
      <c r="C156" s="96"/>
      <c r="D156" s="96"/>
      <c r="E156" s="97"/>
      <c r="F156" s="97"/>
      <c r="G156" s="97"/>
      <c r="H156" s="98">
        <f>SUM(H149:H155)</f>
        <v>5744.7999999999993</v>
      </c>
      <c r="I156" s="98">
        <f>SUM(I149:I155)</f>
        <v>961.48</v>
      </c>
      <c r="J156" s="98">
        <f>SUM(J149:J155)</f>
        <v>6706.2800000000007</v>
      </c>
      <c r="K156" s="266"/>
      <c r="L156" s="33"/>
      <c r="M156" s="33"/>
      <c r="N156" s="33"/>
      <c r="O156" s="34"/>
      <c r="P156" s="34"/>
      <c r="Q156" s="32"/>
      <c r="R156" s="56"/>
      <c r="S156" s="48"/>
      <c r="T156" s="49"/>
      <c r="U156" s="49"/>
      <c r="Y156" s="63"/>
      <c r="Z156" s="63"/>
    </row>
    <row r="157" spans="1:26" s="47" customFormat="1" ht="21" customHeight="1">
      <c r="A157" s="78">
        <v>3</v>
      </c>
      <c r="B157" s="77" t="str">
        <f>VLOOKUP($A157,$A$16:$J$63,2,FALSE)</f>
        <v>DRENAGEM</v>
      </c>
      <c r="C157" s="93"/>
      <c r="D157" s="82"/>
      <c r="E157" s="90"/>
      <c r="F157" s="90"/>
      <c r="G157" s="90"/>
      <c r="H157" s="90"/>
      <c r="I157" s="90"/>
      <c r="J157" s="94"/>
      <c r="K157" s="265"/>
      <c r="L157" s="33"/>
      <c r="M157" s="33"/>
      <c r="N157" s="33"/>
      <c r="O157" s="32"/>
      <c r="P157" s="34"/>
      <c r="Q157" s="32"/>
      <c r="R157" s="56"/>
      <c r="S157" s="48"/>
      <c r="T157" s="49"/>
      <c r="U157" s="49"/>
      <c r="Y157" s="63"/>
      <c r="Z157" s="63"/>
    </row>
    <row r="158" spans="1:26" s="47" customFormat="1" ht="45">
      <c r="A158" s="74" t="s">
        <v>26</v>
      </c>
      <c r="B158" s="116" t="str">
        <f>VLOOKUP($A158,$A$16:$J$63,2,FALSE)</f>
        <v>ESCAVAÇÃO MECANIZADA DE VALA COM PROF. ATÉ 1,5 M(MÉDIA ENTRE MONTANTE E JUSANTE/UMA COMPOSIÇÃO POR TRECHO), COM ESCAVADEIRA HIDRÁULICA (0,8 M3), LARG. DE 1,5M A 2,5 M, EM SOLO DE 1A CATEGORIA, LOCAIS COM BAIXO NÍVEL DE INTERFERÊNCIA. AF_02/2021</v>
      </c>
      <c r="C158" s="117" t="str">
        <f>VLOOKUP($A158,$A$16:$J$63,3,FALSE)</f>
        <v>m³</v>
      </c>
      <c r="D158" s="95">
        <v>51.84</v>
      </c>
      <c r="E158" s="87">
        <f>VLOOKUP($A158,$A$16:$J$63,5,FALSE)</f>
        <v>6.2</v>
      </c>
      <c r="F158" s="87">
        <f>VLOOKUP($A158,$A$16:$J$63,6,FALSE)</f>
        <v>1.17</v>
      </c>
      <c r="G158" s="87">
        <f>VLOOKUP($A158,$A$16:$J$63,7,FALSE)</f>
        <v>7.37</v>
      </c>
      <c r="H158" s="88">
        <f t="shared" ref="H158:H166" si="75">J158-I158</f>
        <v>321.41000000000003</v>
      </c>
      <c r="I158" s="88">
        <f t="shared" ref="I158:I166" si="76">TRUNC(D158*F158,2)</f>
        <v>60.65</v>
      </c>
      <c r="J158" s="87">
        <f t="shared" ref="J158:J166" si="77">TRUNC(D158*G158,2)</f>
        <v>382.06</v>
      </c>
      <c r="K158" s="263">
        <f>VLOOKUP($A158,$A$16:$K$63,11,FALSE)</f>
        <v>90106</v>
      </c>
      <c r="L158" s="33"/>
      <c r="M158" s="33"/>
      <c r="N158" s="33"/>
      <c r="O158" s="32"/>
      <c r="P158" s="34"/>
      <c r="Q158" s="32"/>
      <c r="R158" s="56"/>
      <c r="S158" s="48"/>
      <c r="T158" s="49"/>
      <c r="U158" s="49"/>
      <c r="Y158" s="63"/>
      <c r="Z158" s="63"/>
    </row>
    <row r="159" spans="1:26" s="47" customFormat="1" ht="30">
      <c r="A159" s="74" t="s">
        <v>27</v>
      </c>
      <c r="B159" s="116" t="str">
        <f>VLOOKUP($A159,$A$16:$J$63,2,FALSE)</f>
        <v>TRANSPORTE COM CAMINHÃO BASCULANTE DE 10 M³, EM VIA URBANA EM REVESTIMENTO PRIMÁRIO, DMT 13,30 KM (UNIDADE: M3XKM). AF_07/2020</v>
      </c>
      <c r="C159" s="117" t="str">
        <f>VLOOKUP($A159,$A$16:$J$63,3,FALSE)</f>
        <v>m³ x km</v>
      </c>
      <c r="D159" s="86">
        <v>8.15</v>
      </c>
      <c r="E159" s="87">
        <f>VLOOKUP($A159,$A$16:$J$63,5,FALSE)</f>
        <v>2</v>
      </c>
      <c r="F159" s="87">
        <f>VLOOKUP($A159,$A$16:$J$63,6,FALSE)</f>
        <v>0.17</v>
      </c>
      <c r="G159" s="87">
        <f>VLOOKUP($A159,$A$16:$J$63,7,FALSE)</f>
        <v>2.17</v>
      </c>
      <c r="H159" s="88">
        <f t="shared" si="75"/>
        <v>16.3</v>
      </c>
      <c r="I159" s="88">
        <f t="shared" si="76"/>
        <v>1.38</v>
      </c>
      <c r="J159" s="87">
        <f t="shared" si="77"/>
        <v>17.68</v>
      </c>
      <c r="K159" s="263">
        <f>VLOOKUP($A159,$A$16:$K$63,11,FALSE)</f>
        <v>93589</v>
      </c>
      <c r="L159" s="33"/>
      <c r="M159" s="33"/>
      <c r="N159" s="33"/>
      <c r="O159" s="43">
        <v>1</v>
      </c>
      <c r="P159" s="34"/>
      <c r="Q159" s="32"/>
      <c r="R159" s="56"/>
      <c r="S159" s="48"/>
      <c r="T159" s="49"/>
      <c r="U159" s="49"/>
      <c r="Y159" s="63"/>
      <c r="Z159" s="63"/>
    </row>
    <row r="160" spans="1:26" s="47" customFormat="1" ht="24.75" customHeight="1">
      <c r="A160" s="74" t="s">
        <v>28</v>
      </c>
      <c r="B160" s="116" t="str">
        <f>VLOOKUP($A160,$A$16:$J$63,2,FALSE)</f>
        <v>LASTRO DE BRITA PARA ASSENTAMENTO DOS TUBOS, EXCLUSIVE TRANPORTE</v>
      </c>
      <c r="C160" s="117" t="str">
        <f>VLOOKUP($A160,$A$16:$J$63,3,FALSE)</f>
        <v>m³</v>
      </c>
      <c r="D160" s="86">
        <v>3.6</v>
      </c>
      <c r="E160" s="87">
        <f>VLOOKUP($A160,$A$16:$J$63,5,FALSE)</f>
        <v>103.81</v>
      </c>
      <c r="F160" s="87">
        <f>VLOOKUP($A160,$A$16:$J$63,6,FALSE)</f>
        <v>19.77</v>
      </c>
      <c r="G160" s="87">
        <f>VLOOKUP($A160,$A$16:$J$63,7,FALSE)</f>
        <v>123.58</v>
      </c>
      <c r="H160" s="88">
        <f t="shared" si="75"/>
        <v>373.71</v>
      </c>
      <c r="I160" s="88">
        <f t="shared" si="76"/>
        <v>71.17</v>
      </c>
      <c r="J160" s="87">
        <f t="shared" si="77"/>
        <v>444.88</v>
      </c>
      <c r="K160" s="263">
        <f>VLOOKUP($A160,$A$16:$K$63,11,FALSE)</f>
        <v>96624</v>
      </c>
      <c r="L160" s="33"/>
      <c r="M160" s="33"/>
      <c r="N160" s="33"/>
      <c r="P160" s="34"/>
      <c r="Q160" s="32"/>
      <c r="R160" s="56"/>
      <c r="S160" s="48"/>
      <c r="T160" s="49"/>
      <c r="U160" s="49"/>
      <c r="Y160" s="63"/>
      <c r="Z160" s="63"/>
    </row>
    <row r="161" spans="1:26" s="47" customFormat="1" ht="30">
      <c r="A161" s="74" t="s">
        <v>29</v>
      </c>
      <c r="B161" s="116" t="str">
        <f>VLOOKUP($A161,$A$16:$J$63,2,FALSE)</f>
        <v>TRANSPORTE COM CAMINHÃO BASCULANTE DE 10 M³, EM VIA URBANA PAVIMENTADA, DMT 26,30 KM (UNIDADE: M3XKM). AF_07/2020</v>
      </c>
      <c r="C161" s="117" t="str">
        <f>VLOOKUP($A161,$A$16:$J$63,3,FALSE)</f>
        <v>m³ x km</v>
      </c>
      <c r="D161" s="86">
        <f>ROUND(D160*1.13*$O$161,2)</f>
        <v>106.99</v>
      </c>
      <c r="E161" s="87">
        <f>VLOOKUP($A161,$A$16:$J$63,5,FALSE)</f>
        <v>2</v>
      </c>
      <c r="F161" s="87">
        <f>VLOOKUP($A161,$A$16:$J$63,6,FALSE)</f>
        <v>0.17</v>
      </c>
      <c r="G161" s="87">
        <f>VLOOKUP($A161,$A$16:$J$63,7,FALSE)</f>
        <v>2.17</v>
      </c>
      <c r="H161" s="88">
        <f t="shared" si="75"/>
        <v>213.98</v>
      </c>
      <c r="I161" s="88">
        <f t="shared" si="76"/>
        <v>18.18</v>
      </c>
      <c r="J161" s="87">
        <f t="shared" si="77"/>
        <v>232.16</v>
      </c>
      <c r="K161" s="263">
        <f>VLOOKUP($A161,$A$16:$K$63,11,FALSE)</f>
        <v>95875</v>
      </c>
      <c r="L161" s="33"/>
      <c r="M161" s="33"/>
      <c r="N161" s="33"/>
      <c r="O161" s="43">
        <v>26.3</v>
      </c>
      <c r="P161" s="34"/>
      <c r="Q161" s="32"/>
      <c r="R161" s="56"/>
      <c r="S161" s="48"/>
      <c r="T161" s="49"/>
      <c r="U161" s="49"/>
      <c r="Y161" s="63"/>
      <c r="Z161" s="63"/>
    </row>
    <row r="162" spans="1:26" s="47" customFormat="1" ht="30">
      <c r="A162" s="74" t="s">
        <v>157</v>
      </c>
      <c r="B162" s="116" t="str">
        <f>VLOOKUP($A162,$A$16:$J$63,2,FALSE)</f>
        <v>TUBO DE CONCRETO SIMPLES PARA AGUAS PLUVIAIS, CLASSE PS-1, COM ENCAIXE MACHO FÊMEA, DIAMETRO NOMINAL DE 400 MM</v>
      </c>
      <c r="C162" s="117" t="str">
        <f>VLOOKUP($A162,$A$16:$J$63,3,FALSE)</f>
        <v>m</v>
      </c>
      <c r="D162" s="86">
        <v>24</v>
      </c>
      <c r="E162" s="87">
        <f>VLOOKUP($A162,$A$16:$J$63,5,FALSE)</f>
        <v>57.74</v>
      </c>
      <c r="F162" s="87">
        <f>VLOOKUP($A162,$A$16:$J$63,6,FALSE)</f>
        <v>0</v>
      </c>
      <c r="G162" s="87">
        <f>VLOOKUP($A162,$A$16:$J$63,7,FALSE)</f>
        <v>57.74</v>
      </c>
      <c r="H162" s="88">
        <f t="shared" si="75"/>
        <v>1385.76</v>
      </c>
      <c r="I162" s="88">
        <f t="shared" si="76"/>
        <v>0</v>
      </c>
      <c r="J162" s="87">
        <f t="shared" si="77"/>
        <v>1385.76</v>
      </c>
      <c r="K162" s="263">
        <f>VLOOKUP($A162,$A$16:$K$63,11,FALSE)</f>
        <v>37451</v>
      </c>
      <c r="L162" s="33"/>
      <c r="M162" s="33"/>
      <c r="N162" s="33"/>
      <c r="P162" s="34"/>
      <c r="Q162" s="32"/>
      <c r="R162" s="56"/>
      <c r="S162" s="48"/>
      <c r="T162" s="49"/>
      <c r="U162" s="49"/>
      <c r="Y162" s="63"/>
      <c r="Z162" s="63"/>
    </row>
    <row r="163" spans="1:26" s="47" customFormat="1" ht="30">
      <c r="A163" s="74" t="s">
        <v>158</v>
      </c>
      <c r="B163" s="116" t="str">
        <f>VLOOKUP($A163,$A$16:$J$63,2,FALSE)</f>
        <v>TUBO DE CONCRETO ARMADO PARA AGUAS PLUVIAIS, CLASSE PA-1, COM ENCAIXE MACHO FÊMEA, DIAMETRO NOMINAL DE 400 MM</v>
      </c>
      <c r="C163" s="117" t="str">
        <f>VLOOKUP($A163,$A$16:$J$63,3,FALSE)</f>
        <v>m</v>
      </c>
      <c r="D163" s="95">
        <v>12</v>
      </c>
      <c r="E163" s="87">
        <f>VLOOKUP($A163,$A$16:$J$63,5,FALSE)</f>
        <v>118.76</v>
      </c>
      <c r="F163" s="87">
        <f>VLOOKUP($A163,$A$16:$J$63,6,FALSE)</f>
        <v>0</v>
      </c>
      <c r="G163" s="87">
        <f>VLOOKUP($A163,$A$16:$J$63,7,FALSE)</f>
        <v>118.76</v>
      </c>
      <c r="H163" s="88">
        <f t="shared" si="75"/>
        <v>1425.12</v>
      </c>
      <c r="I163" s="88">
        <f t="shared" si="76"/>
        <v>0</v>
      </c>
      <c r="J163" s="87">
        <f t="shared" si="77"/>
        <v>1425.12</v>
      </c>
      <c r="K163" s="263">
        <f>VLOOKUP($A163,$A$16:$K$63,11,FALSE)</f>
        <v>7745</v>
      </c>
      <c r="L163" s="33"/>
      <c r="M163" s="33"/>
      <c r="N163" s="33"/>
      <c r="O163" s="32"/>
      <c r="P163" s="34"/>
      <c r="Q163" s="32"/>
      <c r="R163" s="56"/>
      <c r="S163" s="48"/>
      <c r="T163" s="49"/>
      <c r="U163" s="49"/>
      <c r="Y163" s="63"/>
      <c r="Z163" s="63"/>
    </row>
    <row r="164" spans="1:26" s="47" customFormat="1" ht="30">
      <c r="A164" s="74" t="s">
        <v>159</v>
      </c>
      <c r="B164" s="116" t="str">
        <f>VLOOKUP($A164,$A$16:$J$63,2,FALSE)</f>
        <v>ASSENTAMENTO DE TUBO DE CONCRETO PARA REDES COLETORAS DE ÁGUAS PLUVIAIS, DIÂMETRO DE 400 MM, JUNTA RÍGIDA, INSTALADO EM LOCAL COM BAIXO NÍVEL DE INTERFERÊNCIAS (NÃO INCLUI FORNECIMENTO). AF_12/2015</v>
      </c>
      <c r="C164" s="117" t="str">
        <f>VLOOKUP($A164,$A$16:$J$63,3,FALSE)</f>
        <v>m</v>
      </c>
      <c r="D164" s="95">
        <f>D162+D163</f>
        <v>36</v>
      </c>
      <c r="E164" s="87">
        <f>VLOOKUP($A164,$A$16:$J$63,5,FALSE)</f>
        <v>0</v>
      </c>
      <c r="F164" s="87">
        <f>VLOOKUP($A164,$A$16:$J$63,6,FALSE)</f>
        <v>58.08</v>
      </c>
      <c r="G164" s="87">
        <f>VLOOKUP($A164,$A$16:$J$63,7,FALSE)</f>
        <v>58.08</v>
      </c>
      <c r="H164" s="88">
        <f t="shared" si="75"/>
        <v>0</v>
      </c>
      <c r="I164" s="88">
        <f t="shared" si="76"/>
        <v>2090.88</v>
      </c>
      <c r="J164" s="87">
        <f t="shared" si="77"/>
        <v>2090.88</v>
      </c>
      <c r="K164" s="263">
        <f>VLOOKUP($A164,$A$16:$K$63,11,FALSE)</f>
        <v>92809</v>
      </c>
      <c r="L164" s="33"/>
      <c r="M164" s="33"/>
      <c r="N164" s="33"/>
      <c r="O164" s="311"/>
      <c r="P164" s="34"/>
      <c r="Q164" s="32"/>
      <c r="R164" s="56"/>
      <c r="S164" s="48"/>
      <c r="T164" s="49"/>
      <c r="U164" s="49"/>
      <c r="Y164" s="63"/>
      <c r="Z164" s="63"/>
    </row>
    <row r="165" spans="1:26" s="47" customFormat="1" ht="45">
      <c r="A165" s="74" t="s">
        <v>160</v>
      </c>
      <c r="B165" s="116" t="str">
        <f>VLOOKUP($A165,$A$16:$J$63,2,FALSE)</f>
        <v>REATERRO MECANIZADO DE VALA COM ESCAVADEIRA HIDRÁULICA (CAPACIDADE DA CAÇAMBA: 0,8 M³ / POTÊNCIA: 111 HP), LARGURA ATÉ 1,5 M, PROFUNDIDADE DE 1,5 A 3,0 M, COM SOLO DE 1ª CATEGORIA EM LOCAIS COM BAIXO NÍVEL DE INTERFERÊNCIA. AF_04/2016</v>
      </c>
      <c r="C165" s="117" t="str">
        <f>VLOOKUP($A165,$A$16:$J$63,3,FALSE)</f>
        <v>m³</v>
      </c>
      <c r="D165" s="86">
        <f>ROUND(D158-(D164*0.181),2)</f>
        <v>45.32</v>
      </c>
      <c r="E165" s="87">
        <f>VLOOKUP($A165,$A$16:$J$63,5,FALSE)</f>
        <v>19.64</v>
      </c>
      <c r="F165" s="87">
        <f>VLOOKUP($A165,$A$16:$J$63,6,FALSE)</f>
        <v>3.74</v>
      </c>
      <c r="G165" s="87">
        <f>VLOOKUP($A165,$A$16:$J$63,7,FALSE)</f>
        <v>23.38</v>
      </c>
      <c r="H165" s="88">
        <f t="shared" si="75"/>
        <v>890.08999999999992</v>
      </c>
      <c r="I165" s="88">
        <f t="shared" si="76"/>
        <v>169.49</v>
      </c>
      <c r="J165" s="87">
        <f t="shared" si="77"/>
        <v>1059.58</v>
      </c>
      <c r="K165" s="263">
        <f>VLOOKUP($A165,$A$16:$K$63,11,FALSE)</f>
        <v>93368</v>
      </c>
      <c r="L165" s="33"/>
      <c r="M165" s="33"/>
      <c r="N165" s="33"/>
      <c r="O165" s="64"/>
      <c r="P165" s="34"/>
      <c r="Q165" s="32"/>
      <c r="R165" s="56"/>
      <c r="S165" s="48"/>
      <c r="T165" s="49"/>
      <c r="U165" s="49"/>
      <c r="Y165" s="63"/>
      <c r="Z165" s="63"/>
    </row>
    <row r="166" spans="1:26" s="47" customFormat="1" ht="29.25" customHeight="1">
      <c r="A166" s="74" t="s">
        <v>151</v>
      </c>
      <c r="B166" s="116" t="str">
        <f>VLOOKUP($A166,$A$16:$J$63,2,FALSE)</f>
        <v>CAIXA COLETORA COM PAREDES EM PEDRA GRÊS, 0,80x0,80, COM FUNDO E TAMPA DE CONCRETO</v>
      </c>
      <c r="C166" s="117" t="str">
        <f>VLOOKUP($A166,$A$16:$J$63,3,FALSE)</f>
        <v>unid</v>
      </c>
      <c r="D166" s="86">
        <v>3</v>
      </c>
      <c r="E166" s="87">
        <f>VLOOKUP($A166,$A$16:$J$63,5,FALSE)</f>
        <v>1557.52</v>
      </c>
      <c r="F166" s="87">
        <f>VLOOKUP($A166,$A$16:$J$63,6,FALSE)</f>
        <v>296.66000000000003</v>
      </c>
      <c r="G166" s="87">
        <f>VLOOKUP($A166,$A$16:$J$63,7,FALSE)</f>
        <v>1854.18</v>
      </c>
      <c r="H166" s="88">
        <f t="shared" si="75"/>
        <v>4672.5599999999995</v>
      </c>
      <c r="I166" s="88">
        <f t="shared" si="76"/>
        <v>889.98</v>
      </c>
      <c r="J166" s="87">
        <f t="shared" si="77"/>
        <v>5562.54</v>
      </c>
      <c r="K166" s="263" t="str">
        <f>VLOOKUP($A166,$A$16:$K$63,11,FALSE)</f>
        <v>CPU 09</v>
      </c>
      <c r="L166" s="33"/>
      <c r="M166" s="33"/>
      <c r="N166" s="33"/>
      <c r="O166" s="64"/>
      <c r="P166" s="34"/>
      <c r="Q166" s="32"/>
      <c r="R166" s="56"/>
      <c r="S166" s="48"/>
      <c r="T166" s="49"/>
      <c r="U166" s="49"/>
      <c r="Y166" s="63"/>
      <c r="Z166" s="63"/>
    </row>
    <row r="167" spans="1:26" s="47" customFormat="1" ht="21" customHeight="1">
      <c r="A167" s="76" t="str">
        <f>CONCATENATE("TOTAL DO ITEM ",A157," - ",B157)</f>
        <v>TOTAL DO ITEM 3 - DRENAGEM</v>
      </c>
      <c r="B167" s="118"/>
      <c r="C167" s="96"/>
      <c r="D167" s="96"/>
      <c r="E167" s="97"/>
      <c r="F167" s="97"/>
      <c r="G167" s="97"/>
      <c r="H167" s="98">
        <f>SUM(H158:H166)</f>
        <v>9298.93</v>
      </c>
      <c r="I167" s="98">
        <f>SUM(I158:I166)</f>
        <v>3301.73</v>
      </c>
      <c r="J167" s="98">
        <f>SUM(J158:J166)</f>
        <v>12600.66</v>
      </c>
      <c r="K167" s="266"/>
      <c r="L167" s="33"/>
      <c r="M167" s="33"/>
      <c r="N167" s="33"/>
      <c r="O167" s="34"/>
      <c r="P167" s="34"/>
      <c r="Q167" s="32"/>
      <c r="R167" s="56"/>
      <c r="S167" s="48"/>
      <c r="T167" s="49"/>
      <c r="U167" s="49"/>
      <c r="Y167" s="63"/>
      <c r="Z167" s="63"/>
    </row>
    <row r="168" spans="1:26" s="47" customFormat="1" ht="21" customHeight="1">
      <c r="A168" s="78">
        <v>4</v>
      </c>
      <c r="B168" s="77" t="str">
        <f>VLOOKUP($A168,$A$16:$J$63,2,FALSE)</f>
        <v>PAVIMENTAÇÃO</v>
      </c>
      <c r="C168" s="93"/>
      <c r="D168" s="82"/>
      <c r="E168" s="90"/>
      <c r="F168" s="90"/>
      <c r="G168" s="90"/>
      <c r="H168" s="90"/>
      <c r="I168" s="90"/>
      <c r="J168" s="94"/>
      <c r="K168" s="265"/>
      <c r="L168" s="33"/>
      <c r="M168" s="33"/>
      <c r="N168" s="33"/>
      <c r="O168" s="34"/>
      <c r="P168" s="34"/>
      <c r="Q168" s="32"/>
      <c r="R168" s="56"/>
      <c r="S168" s="48"/>
      <c r="T168" s="49"/>
      <c r="U168" s="49"/>
      <c r="Y168" s="63"/>
      <c r="Z168" s="63"/>
    </row>
    <row r="169" spans="1:26" s="47" customFormat="1" ht="32.25" customHeight="1">
      <c r="A169" s="74" t="s">
        <v>30</v>
      </c>
      <c r="B169" s="116" t="str">
        <f>VLOOKUP($A169,$A$16:$J$63,2,FALSE)</f>
        <v>EXECUÇÃO E COMPACTAÇÃO DE BASE E OU SUB BASE PARA PAVIMENTAÇÃO DE MACADAME SECO (E = 15 CM) - EXCLUSIVE CARGA E TRANSPORTE. AF_11/2019</v>
      </c>
      <c r="C169" s="117" t="str">
        <f>VLOOKUP($A169,$A$16:$J$63,3,FALSE)</f>
        <v>m³</v>
      </c>
      <c r="D169" s="86">
        <v>104.55</v>
      </c>
      <c r="E169" s="87">
        <f>VLOOKUP($A169,$A$16:$J$63,5,FALSE)</f>
        <v>109.35000000000001</v>
      </c>
      <c r="F169" s="87">
        <f>VLOOKUP($A169,$A$16:$J$63,6,FALSE)</f>
        <v>14.91</v>
      </c>
      <c r="G169" s="87">
        <f>VLOOKUP($A169,$A$16:$J$63,7,FALSE)</f>
        <v>124.26</v>
      </c>
      <c r="H169" s="88">
        <f t="shared" ref="H169:H176" si="78">J169-I169</f>
        <v>11432.539999999999</v>
      </c>
      <c r="I169" s="88">
        <f t="shared" ref="I169:I176" si="79">TRUNC(D169*F169,2)</f>
        <v>1558.84</v>
      </c>
      <c r="J169" s="87">
        <f t="shared" ref="J169:J176" si="80">TRUNC(D169*G169,2)</f>
        <v>12991.38</v>
      </c>
      <c r="K169" s="263">
        <f>VLOOKUP($A169,$A$16:$K$63,11,FALSE)</f>
        <v>96400</v>
      </c>
      <c r="L169" s="33"/>
      <c r="M169" s="33"/>
      <c r="N169" s="33"/>
      <c r="O169" s="34"/>
      <c r="P169" s="34"/>
      <c r="Q169" s="32"/>
      <c r="R169" s="56"/>
      <c r="S169" s="48"/>
      <c r="T169" s="49"/>
      <c r="U169" s="49"/>
      <c r="Y169" s="63"/>
      <c r="Z169" s="63"/>
    </row>
    <row r="170" spans="1:26" s="47" customFormat="1" ht="32.25" customHeight="1">
      <c r="A170" s="74" t="s">
        <v>150</v>
      </c>
      <c r="B170" s="79" t="str">
        <f>VLOOKUP($A170,$A$16:$J$63,2,FALSE)</f>
        <v>TRANSPORTE COM CAMINHÃO BASCULANTE DE 10 M³, EM VIA URBANA PAVIMENTADA , DMT 26,30 KM (UNIDADE: M3XKM). AF_07/2020</v>
      </c>
      <c r="C170" s="117" t="str">
        <f>VLOOKUP($A170,$A$16:$J$63,3,FALSE)</f>
        <v>m³ x km</v>
      </c>
      <c r="D170" s="86">
        <v>3024.63</v>
      </c>
      <c r="E170" s="87">
        <f>VLOOKUP($A170,$A$16:$J$63,5,FALSE)</f>
        <v>1.8499999999999999</v>
      </c>
      <c r="F170" s="87">
        <f>VLOOKUP($A170,$A$16:$J$63,6,FALSE)</f>
        <v>0.16</v>
      </c>
      <c r="G170" s="87">
        <f>VLOOKUP($A170,$A$16:$J$63,7,FALSE)</f>
        <v>2.0099999999999998</v>
      </c>
      <c r="H170" s="88">
        <f t="shared" si="78"/>
        <v>5595.56</v>
      </c>
      <c r="I170" s="88">
        <f t="shared" si="79"/>
        <v>483.94</v>
      </c>
      <c r="J170" s="87">
        <f t="shared" si="80"/>
        <v>6079.5</v>
      </c>
      <c r="K170" s="263">
        <f>VLOOKUP($A170,$A$16:$K$63,11,FALSE)</f>
        <v>95875</v>
      </c>
      <c r="L170" s="33"/>
      <c r="M170" s="33"/>
      <c r="N170" s="33"/>
      <c r="O170" s="43">
        <v>26.3</v>
      </c>
      <c r="P170" s="34"/>
      <c r="Q170" s="32"/>
      <c r="R170" s="56"/>
      <c r="S170" s="48"/>
      <c r="T170" s="49"/>
      <c r="U170" s="49"/>
      <c r="Y170" s="63"/>
      <c r="Z170" s="63"/>
    </row>
    <row r="171" spans="1:26" s="47" customFormat="1" ht="32.25" customHeight="1">
      <c r="A171" s="74" t="s">
        <v>148</v>
      </c>
      <c r="B171" s="116" t="str">
        <f>VLOOKUP($A171,$A$16:$J$63,2,FALSE)</f>
        <v>EXECUÇÃO E COMPACTAÇÃO DE BASE E OU SUB BASE PARA PAVIMENTAÇÃO DE BRITA GRADUADA SIMPLES (E = 15 CM) - EXCLUSIVE CARGA E TRANSPORTE. AF_11/2019</v>
      </c>
      <c r="C171" s="117" t="str">
        <f>VLOOKUP($A171,$A$16:$J$63,3,FALSE)</f>
        <v>m³</v>
      </c>
      <c r="D171" s="86">
        <v>96.9</v>
      </c>
      <c r="E171" s="87">
        <f>VLOOKUP($A171,$A$16:$J$63,5,FALSE)</f>
        <v>120.35</v>
      </c>
      <c r="F171" s="87">
        <f>VLOOKUP($A171,$A$16:$J$63,6,FALSE)</f>
        <v>16.41</v>
      </c>
      <c r="G171" s="87">
        <f>VLOOKUP($A171,$A$16:$J$63,7,FALSE)</f>
        <v>136.76</v>
      </c>
      <c r="H171" s="88">
        <f t="shared" si="78"/>
        <v>11661.920000000002</v>
      </c>
      <c r="I171" s="88">
        <f t="shared" si="79"/>
        <v>1590.12</v>
      </c>
      <c r="J171" s="87">
        <f t="shared" si="80"/>
        <v>13252.04</v>
      </c>
      <c r="K171" s="263">
        <f>VLOOKUP($A171,$A$16:$K$63,11,FALSE)</f>
        <v>96396</v>
      </c>
      <c r="L171" s="33"/>
      <c r="M171" s="33"/>
      <c r="N171" s="33"/>
      <c r="O171" s="34"/>
      <c r="P171" s="34"/>
      <c r="Q171" s="32"/>
      <c r="R171" s="56"/>
      <c r="S171" s="48"/>
      <c r="T171" s="49"/>
      <c r="U171" s="49"/>
      <c r="Y171" s="63"/>
      <c r="Z171" s="63"/>
    </row>
    <row r="172" spans="1:26" s="47" customFormat="1" ht="32.25" customHeight="1">
      <c r="A172" s="74" t="s">
        <v>349</v>
      </c>
      <c r="B172" s="79" t="str">
        <f>VLOOKUP($A172,$A$16:$J$63,2,FALSE)</f>
        <v>TRANSPORTE COM CAMINHÃO BASCULANTE DE 10 M³, EM VIA URBANA PAVIMENTADA , DMT 26,30 KM (UNIDADE: M3XKM). AF_07/2020</v>
      </c>
      <c r="C172" s="117" t="str">
        <f>VLOOKUP($A172,$A$16:$J$63,3,FALSE)</f>
        <v>m³ x km</v>
      </c>
      <c r="D172" s="86">
        <f>ROUND(D171*1.45*$O$172,2)</f>
        <v>3695.28</v>
      </c>
      <c r="E172" s="87">
        <f>VLOOKUP($A172,$A$16:$J$63,5,FALSE)</f>
        <v>1.8499999999999999</v>
      </c>
      <c r="F172" s="87">
        <f>VLOOKUP($A172,$A$16:$J$63,6,FALSE)</f>
        <v>0.16</v>
      </c>
      <c r="G172" s="87">
        <f>VLOOKUP($A172,$A$16:$J$63,7,FALSE)</f>
        <v>2.0099999999999998</v>
      </c>
      <c r="H172" s="88">
        <f t="shared" si="78"/>
        <v>6836.27</v>
      </c>
      <c r="I172" s="88">
        <f t="shared" si="79"/>
        <v>591.24</v>
      </c>
      <c r="J172" s="87">
        <f t="shared" si="80"/>
        <v>7427.51</v>
      </c>
      <c r="K172" s="263">
        <f>VLOOKUP($A172,$A$16:$K$63,11,FALSE)</f>
        <v>95875</v>
      </c>
      <c r="L172" s="33"/>
      <c r="M172" s="33"/>
      <c r="N172" s="33"/>
      <c r="O172" s="43">
        <v>26.3</v>
      </c>
      <c r="P172" s="34"/>
      <c r="Q172" s="32"/>
      <c r="R172" s="56"/>
      <c r="S172" s="48"/>
      <c r="T172" s="49"/>
      <c r="U172" s="49"/>
      <c r="Y172" s="63"/>
      <c r="Z172" s="63"/>
    </row>
    <row r="173" spans="1:26" s="47" customFormat="1" ht="45">
      <c r="A173" s="74" t="s">
        <v>351</v>
      </c>
      <c r="B173" s="116" t="str">
        <f>VLOOKUP($A173,$A$16:$J$63,2,FALSE)</f>
        <v>IMPRIMAÇÃO COM CM-30, INCLUSIVE ASFALTO E TRANSPORTE, TAXA= 0,8 L/M² A 1,6 L/M²</v>
      </c>
      <c r="C173" s="117" t="str">
        <f>VLOOKUP($A173,$A$16:$J$63,3,FALSE)</f>
        <v>m²</v>
      </c>
      <c r="D173" s="86">
        <v>646</v>
      </c>
      <c r="E173" s="87">
        <f>VLOOKUP($A173,$A$16:$J$63,5,FALSE)</f>
        <v>10.36</v>
      </c>
      <c r="F173" s="87">
        <f>VLOOKUP($A173,$A$16:$J$63,6,FALSE)</f>
        <v>1.1499999999999999</v>
      </c>
      <c r="G173" s="87">
        <f>VLOOKUP($A173,$A$16:$J$63,7,FALSE)</f>
        <v>11.51</v>
      </c>
      <c r="H173" s="88">
        <f t="shared" si="78"/>
        <v>6692.56</v>
      </c>
      <c r="I173" s="88">
        <f t="shared" si="79"/>
        <v>742.9</v>
      </c>
      <c r="J173" s="87">
        <f t="shared" si="80"/>
        <v>7435.46</v>
      </c>
      <c r="K173" s="263" t="str">
        <f>VLOOKUP($A173,$A$16:$K$63,11,FALSE)</f>
        <v>CPU 05 (96401)</v>
      </c>
      <c r="L173" s="33"/>
      <c r="M173" s="33"/>
      <c r="N173" s="33"/>
      <c r="O173" s="34"/>
      <c r="P173" s="34"/>
      <c r="Q173" s="32"/>
      <c r="R173" s="56"/>
      <c r="S173" s="48"/>
      <c r="T173" s="49"/>
      <c r="U173" s="49"/>
      <c r="Y173" s="63"/>
      <c r="Z173" s="63"/>
    </row>
    <row r="174" spans="1:26" s="47" customFormat="1" ht="32.25" customHeight="1">
      <c r="A174" s="74" t="s">
        <v>352</v>
      </c>
      <c r="B174" s="116" t="str">
        <f>VLOOKUP($A174,$A$16:$J$63,2,FALSE)</f>
        <v>EXECUÇÃO DE PINTURA DE LIGAÇÃO COM EMULSÃO ASFÁLTICA RR-2C. AF_11/2019</v>
      </c>
      <c r="C174" s="117" t="str">
        <f>VLOOKUP($A174,$A$16:$J$63,3,FALSE)</f>
        <v>m²</v>
      </c>
      <c r="D174" s="86">
        <v>595</v>
      </c>
      <c r="E174" s="87">
        <f>VLOOKUP($A174,$A$16:$J$63,5,FALSE)</f>
        <v>3.1100000000000003</v>
      </c>
      <c r="F174" s="87">
        <f>VLOOKUP($A174,$A$16:$J$63,6,FALSE)</f>
        <v>0.34</v>
      </c>
      <c r="G174" s="87">
        <f>VLOOKUP($A174,$A$16:$J$63,7,FALSE)</f>
        <v>3.45</v>
      </c>
      <c r="H174" s="88">
        <f t="shared" si="78"/>
        <v>1850.45</v>
      </c>
      <c r="I174" s="88">
        <f t="shared" si="79"/>
        <v>202.3</v>
      </c>
      <c r="J174" s="87">
        <f t="shared" si="80"/>
        <v>2052.75</v>
      </c>
      <c r="K174" s="263" t="str">
        <f>VLOOKUP($A174,$A$16:$K$63,11,FALSE)</f>
        <v>CPU 06 (96402)</v>
      </c>
      <c r="L174" s="33"/>
      <c r="M174" s="33"/>
      <c r="N174" s="33"/>
      <c r="O174" s="34"/>
      <c r="P174" s="34"/>
      <c r="Q174" s="32"/>
      <c r="R174" s="56"/>
      <c r="S174" s="48"/>
      <c r="T174" s="49"/>
      <c r="U174" s="49"/>
      <c r="Y174" s="63"/>
      <c r="Z174" s="63"/>
    </row>
    <row r="175" spans="1:26" s="47" customFormat="1" ht="27" customHeight="1">
      <c r="A175" s="74" t="s">
        <v>353</v>
      </c>
      <c r="B175" s="116" t="str">
        <f>VLOOKUP($A175,$A$16:$J$63,2,FALSE)</f>
        <v>CONCRETO BETUMINOSO USINADO QUENTE (C.B.U.Q.), FORNECIMENTO E EXECUÇÃO (E= 4 CM)</v>
      </c>
      <c r="C175" s="117" t="str">
        <f>VLOOKUP($A175,$A$16:$J$63,3,FALSE)</f>
        <v>m³</v>
      </c>
      <c r="D175" s="86">
        <f>D144*0.04</f>
        <v>23.8</v>
      </c>
      <c r="E175" s="87">
        <f>VLOOKUP($A175,$A$16:$J$63,5,FALSE)</f>
        <v>1491.71</v>
      </c>
      <c r="F175" s="87">
        <f>VLOOKUP($A175,$A$16:$J$63,6,FALSE)</f>
        <v>165.74</v>
      </c>
      <c r="G175" s="87">
        <f>VLOOKUP($A175,$A$16:$J$63,7,FALSE)</f>
        <v>1657.45</v>
      </c>
      <c r="H175" s="88">
        <f t="shared" si="78"/>
        <v>35502.699999999997</v>
      </c>
      <c r="I175" s="88">
        <f t="shared" si="79"/>
        <v>3944.61</v>
      </c>
      <c r="J175" s="87">
        <f t="shared" si="80"/>
        <v>39447.31</v>
      </c>
      <c r="K175" s="263" t="str">
        <f>VLOOKUP($A175,$A$16:$K$63,11,FALSE)</f>
        <v>CPU 07 (95995)</v>
      </c>
      <c r="L175" s="33"/>
      <c r="M175" s="33"/>
      <c r="N175" s="33"/>
      <c r="O175" s="34"/>
      <c r="P175" s="34"/>
      <c r="Q175" s="32"/>
      <c r="R175" s="56"/>
      <c r="S175" s="48"/>
      <c r="T175" s="49"/>
      <c r="U175" s="49"/>
      <c r="Y175" s="63"/>
      <c r="Z175" s="63"/>
    </row>
    <row r="176" spans="1:26" s="47" customFormat="1" ht="27" customHeight="1">
      <c r="A176" s="74" t="s">
        <v>354</v>
      </c>
      <c r="B176" s="79" t="str">
        <f>VLOOKUP($A176,$A$16:$J$63,2,FALSE)</f>
        <v>TRANSPORTE COM CAMINHÃO BASCULANTE DE 10 M³, EM VIA URBANA PAVIMENTADA , DMT 26,30 KM (UNIDADE: M3XKM). AF_07/2020</v>
      </c>
      <c r="C176" s="117" t="str">
        <f>VLOOKUP($A176,$A$16:$J$63,3,FALSE)</f>
        <v>m³ x km</v>
      </c>
      <c r="D176" s="86">
        <v>907.61</v>
      </c>
      <c r="E176" s="87">
        <f>VLOOKUP($A176,$A$16:$J$63,5,FALSE)</f>
        <v>1.8499999999999999</v>
      </c>
      <c r="F176" s="87">
        <f>VLOOKUP($A176,$A$16:$J$63,6,FALSE)</f>
        <v>0.16</v>
      </c>
      <c r="G176" s="87">
        <f>VLOOKUP($A176,$A$16:$J$63,7,FALSE)</f>
        <v>2.0099999999999998</v>
      </c>
      <c r="H176" s="88">
        <f t="shared" si="78"/>
        <v>1679.08</v>
      </c>
      <c r="I176" s="88">
        <f t="shared" si="79"/>
        <v>145.21</v>
      </c>
      <c r="J176" s="87">
        <f t="shared" si="80"/>
        <v>1824.29</v>
      </c>
      <c r="K176" s="263">
        <f>VLOOKUP($A176,$A$16:$K$63,11,FALSE)</f>
        <v>95875</v>
      </c>
      <c r="L176" s="33"/>
      <c r="M176" s="33"/>
      <c r="N176" s="33"/>
      <c r="P176" s="34"/>
      <c r="Q176" s="32"/>
      <c r="R176" s="56"/>
      <c r="S176" s="48"/>
      <c r="T176" s="49"/>
      <c r="U176" s="49"/>
      <c r="Y176" s="63"/>
      <c r="Z176" s="63"/>
    </row>
    <row r="177" spans="1:26" s="47" customFormat="1" ht="21" customHeight="1">
      <c r="A177" s="76" t="str">
        <f>CONCATENATE("TOTAL DO ITEM ",A168," - ",B168)</f>
        <v>TOTAL DO ITEM 4 - PAVIMENTAÇÃO</v>
      </c>
      <c r="B177" s="77"/>
      <c r="C177" s="100"/>
      <c r="D177" s="100"/>
      <c r="E177" s="101"/>
      <c r="F177" s="101"/>
      <c r="G177" s="101"/>
      <c r="H177" s="91">
        <f>SUM(H169:H176)</f>
        <v>81251.08</v>
      </c>
      <c r="I177" s="91">
        <f>SUM(I169:I176)</f>
        <v>9259.159999999998</v>
      </c>
      <c r="J177" s="91">
        <f>SUM(J169:J176)</f>
        <v>90510.239999999991</v>
      </c>
      <c r="K177" s="264"/>
      <c r="L177" s="33"/>
      <c r="M177" s="33"/>
      <c r="N177" s="33"/>
      <c r="O177" s="32"/>
      <c r="P177" s="34"/>
      <c r="Q177" s="32"/>
      <c r="R177" s="56"/>
      <c r="S177" s="48"/>
      <c r="T177" s="49"/>
      <c r="U177" s="49"/>
      <c r="Y177" s="63"/>
      <c r="Z177" s="63"/>
    </row>
    <row r="178" spans="1:26" s="47" customFormat="1" ht="21" customHeight="1">
      <c r="A178" s="78">
        <v>5</v>
      </c>
      <c r="B178" s="77" t="str">
        <f>VLOOKUP($A178,$A$16:$J$63,2,FALSE)</f>
        <v>SINALIZAÇÃO</v>
      </c>
      <c r="C178" s="93"/>
      <c r="D178" s="82"/>
      <c r="E178" s="90"/>
      <c r="F178" s="90"/>
      <c r="G178" s="90"/>
      <c r="H178" s="90"/>
      <c r="I178" s="90"/>
      <c r="J178" s="94"/>
      <c r="K178" s="265"/>
      <c r="L178" s="33"/>
      <c r="M178" s="33"/>
      <c r="N178" s="33"/>
      <c r="O178" s="32"/>
      <c r="P178" s="34"/>
      <c r="Q178" s="32"/>
      <c r="R178" s="56"/>
      <c r="S178" s="48"/>
      <c r="T178" s="49"/>
      <c r="U178" s="49"/>
      <c r="Y178" s="63"/>
      <c r="Z178" s="63"/>
    </row>
    <row r="179" spans="1:26" s="47" customFormat="1" ht="21" customHeight="1">
      <c r="A179" s="74" t="s">
        <v>358</v>
      </c>
      <c r="B179" s="116" t="str">
        <f>VLOOKUP($A179,$A$16:$J$63,2,FALSE)</f>
        <v>LIMPEZA DA SUPERFÍCIE PARA APLICAÇÃO DE SINALIZAÇÃO</v>
      </c>
      <c r="C179" s="117" t="str">
        <f>VLOOKUP($A179,$A$16:$J$63,3,FALSE)</f>
        <v>m²</v>
      </c>
      <c r="D179" s="86">
        <v>48.2</v>
      </c>
      <c r="E179" s="87">
        <f>VLOOKUP($A179,$A$16:$J$63,5,FALSE)</f>
        <v>1.66</v>
      </c>
      <c r="F179" s="87">
        <f>VLOOKUP($A179,$A$16:$J$63,6,FALSE)</f>
        <v>0.33</v>
      </c>
      <c r="G179" s="87">
        <f>VLOOKUP($A179,$A$16:$J$63,7,FALSE)</f>
        <v>1.99</v>
      </c>
      <c r="H179" s="88">
        <f t="shared" ref="H179:H185" si="81">J179-I179</f>
        <v>80.009999999999991</v>
      </c>
      <c r="I179" s="88">
        <f t="shared" ref="I179:I185" si="82">TRUNC(D179*F179,2)</f>
        <v>15.9</v>
      </c>
      <c r="J179" s="87">
        <f t="shared" ref="J179:J185" si="83">TRUNC(D179*G179,2)</f>
        <v>95.91</v>
      </c>
      <c r="K179" s="263">
        <f>VLOOKUP($A179,$A$16:$K$63,11,FALSE)</f>
        <v>99814</v>
      </c>
      <c r="L179" s="33"/>
      <c r="M179" s="33"/>
      <c r="N179" s="33"/>
      <c r="O179" s="32"/>
      <c r="P179" s="34"/>
      <c r="Q179" s="32"/>
      <c r="R179" s="56"/>
      <c r="S179" s="48"/>
      <c r="T179" s="49"/>
      <c r="U179" s="49"/>
      <c r="Y179" s="63"/>
      <c r="Z179" s="63"/>
    </row>
    <row r="180" spans="1:26" s="47" customFormat="1" ht="21" customHeight="1">
      <c r="A180" s="74" t="s">
        <v>359</v>
      </c>
      <c r="B180" s="116" t="str">
        <f>VLOOKUP($A180,$A$16:$J$63,2,FALSE)</f>
        <v>SINALIZAÇÃO HORIZONTAL TINTA ACRÍLICA, COR AMARELA OU BRANCA (L= 12 CM)</v>
      </c>
      <c r="C180" s="117" t="str">
        <f>VLOOKUP($A180,$A$16:$J$63,3,FALSE)</f>
        <v>m²</v>
      </c>
      <c r="D180" s="86">
        <v>30.6</v>
      </c>
      <c r="E180" s="87">
        <f>VLOOKUP($A180,$A$16:$J$63,5,FALSE)</f>
        <v>28.480000000000004</v>
      </c>
      <c r="F180" s="87">
        <f>VLOOKUP($A180,$A$16:$J$63,6,FALSE)</f>
        <v>5.83</v>
      </c>
      <c r="G180" s="87">
        <f>VLOOKUP($A180,$A$16:$J$63,7,FALSE)</f>
        <v>34.31</v>
      </c>
      <c r="H180" s="88">
        <f t="shared" si="81"/>
        <v>871.49000000000012</v>
      </c>
      <c r="I180" s="88">
        <f t="shared" si="82"/>
        <v>178.39</v>
      </c>
      <c r="J180" s="87">
        <f t="shared" si="83"/>
        <v>1049.8800000000001</v>
      </c>
      <c r="K180" s="263" t="str">
        <f>VLOOKUP($A180,$A$16:$K$63,11,FALSE)</f>
        <v>sicro 5213401</v>
      </c>
      <c r="L180" s="33"/>
      <c r="M180" s="33"/>
      <c r="N180" s="33"/>
      <c r="O180" s="32"/>
      <c r="P180" s="34"/>
      <c r="Q180" s="32"/>
      <c r="R180" s="56"/>
      <c r="S180" s="48"/>
      <c r="T180" s="49"/>
      <c r="U180" s="49"/>
      <c r="Y180" s="63"/>
      <c r="Z180" s="63"/>
    </row>
    <row r="181" spans="1:26" s="47" customFormat="1" ht="21" customHeight="1">
      <c r="A181" s="74" t="s">
        <v>360</v>
      </c>
      <c r="B181" s="116" t="str">
        <f>VLOOKUP($A181,$A$16:$J$63,2,FALSE)</f>
        <v>SINALIZAÇÃO HORIZONTAL ÁREAS ESPECIAIS</v>
      </c>
      <c r="C181" s="117" t="str">
        <f>VLOOKUP($A181,$A$16:$J$63,3,FALSE)</f>
        <v>m²</v>
      </c>
      <c r="D181" s="95">
        <v>17.600000000000001</v>
      </c>
      <c r="E181" s="87">
        <f>VLOOKUP($A181,$A$16:$J$63,5,FALSE)</f>
        <v>40.97</v>
      </c>
      <c r="F181" s="87">
        <f>VLOOKUP($A181,$A$16:$J$63,6,FALSE)</f>
        <v>8.39</v>
      </c>
      <c r="G181" s="87">
        <f>VLOOKUP($A181,$A$16:$J$63,7,FALSE)</f>
        <v>49.36</v>
      </c>
      <c r="H181" s="88">
        <f t="shared" si="81"/>
        <v>721.07</v>
      </c>
      <c r="I181" s="88">
        <f t="shared" si="82"/>
        <v>147.66</v>
      </c>
      <c r="J181" s="87">
        <f t="shared" si="83"/>
        <v>868.73</v>
      </c>
      <c r="K181" s="263" t="str">
        <f>VLOOKUP($A181,$A$16:$K$63,11,FALSE)</f>
        <v>sicro 5213405</v>
      </c>
      <c r="L181" s="33"/>
      <c r="M181" s="33"/>
      <c r="N181" s="33"/>
      <c r="O181" s="32"/>
      <c r="P181" s="34"/>
      <c r="Q181" s="32"/>
      <c r="R181" s="56"/>
      <c r="S181" s="48"/>
      <c r="T181" s="49"/>
      <c r="U181" s="49"/>
      <c r="Y181" s="63"/>
      <c r="Z181" s="63"/>
    </row>
    <row r="182" spans="1:26" s="47" customFormat="1" ht="21" customHeight="1">
      <c r="A182" s="74" t="s">
        <v>361</v>
      </c>
      <c r="B182" s="116" t="str">
        <f>VLOOKUP($A182,$A$16:$J$63,2,FALSE)</f>
        <v>PLACA TIPO R01-REGULAMENTAÇÃO (PARADA OBRIGATÓRIA) - SUPORTE METÁLICO H= 2,20M, L = 33 CM</v>
      </c>
      <c r="C182" s="117" t="str">
        <f>VLOOKUP($A182,$A$16:$J$63,3,FALSE)</f>
        <v>unid</v>
      </c>
      <c r="D182" s="95"/>
      <c r="E182" s="87">
        <f>VLOOKUP($A182,$A$16:$J$63,5,FALSE)</f>
        <v>569.09</v>
      </c>
      <c r="F182" s="87">
        <f>VLOOKUP($A182,$A$16:$J$63,6,FALSE)</f>
        <v>116.55</v>
      </c>
      <c r="G182" s="87">
        <f>VLOOKUP($A182,$A$16:$J$63,7,FALSE)</f>
        <v>685.64</v>
      </c>
      <c r="H182" s="88">
        <f t="shared" si="81"/>
        <v>0</v>
      </c>
      <c r="I182" s="88">
        <f t="shared" si="82"/>
        <v>0</v>
      </c>
      <c r="J182" s="87">
        <f t="shared" si="83"/>
        <v>0</v>
      </c>
      <c r="K182" s="263" t="str">
        <f>VLOOKUP($A182,$A$16:$K$63,11,FALSE)</f>
        <v>34723+21014</v>
      </c>
      <c r="L182" s="33"/>
      <c r="M182" s="33"/>
      <c r="N182" s="33"/>
      <c r="O182" s="32"/>
      <c r="P182" s="34"/>
      <c r="Q182" s="32"/>
      <c r="R182" s="56"/>
      <c r="S182" s="48"/>
      <c r="T182" s="49"/>
      <c r="U182" s="49"/>
      <c r="Y182" s="63"/>
      <c r="Z182" s="63"/>
    </row>
    <row r="183" spans="1:26" s="47" customFormat="1" ht="21" customHeight="1">
      <c r="A183" s="74" t="s">
        <v>362</v>
      </c>
      <c r="B183" s="116" t="str">
        <f>VLOOKUP($A183,$A$16:$J$63,2,FALSE)</f>
        <v>PLACA TIPO A-32b PASSAGEM DE PEDESTRES  - SUPORTE METÁLICO H = 2,20M, L = 50 CM</v>
      </c>
      <c r="C183" s="117" t="str">
        <f>VLOOKUP($A183,$A$16:$J$63,3,FALSE)</f>
        <v>unid</v>
      </c>
      <c r="D183" s="95">
        <v>2</v>
      </c>
      <c r="E183" s="87">
        <f>VLOOKUP($A183,$A$16:$J$63,5,FALSE)</f>
        <v>569.09</v>
      </c>
      <c r="F183" s="87">
        <f>VLOOKUP($A183,$A$16:$J$63,6,FALSE)</f>
        <v>116.55</v>
      </c>
      <c r="G183" s="87">
        <f>VLOOKUP($A183,$A$16:$J$63,7,FALSE)</f>
        <v>685.64</v>
      </c>
      <c r="H183" s="88">
        <f t="shared" si="81"/>
        <v>1138.18</v>
      </c>
      <c r="I183" s="88">
        <f t="shared" si="82"/>
        <v>233.1</v>
      </c>
      <c r="J183" s="87">
        <f t="shared" si="83"/>
        <v>1371.28</v>
      </c>
      <c r="K183" s="263" t="str">
        <f>VLOOKUP($A183,$A$16:$K$63,11,FALSE)</f>
        <v>34723+21014</v>
      </c>
      <c r="L183" s="33"/>
      <c r="M183" s="33"/>
      <c r="N183" s="33"/>
      <c r="O183" s="32"/>
      <c r="P183" s="34"/>
      <c r="Q183" s="32"/>
      <c r="R183" s="56"/>
      <c r="S183" s="48"/>
      <c r="T183" s="49"/>
      <c r="U183" s="49"/>
      <c r="Y183" s="63"/>
      <c r="Z183" s="63"/>
    </row>
    <row r="184" spans="1:26" s="47" customFormat="1" ht="21" customHeight="1">
      <c r="A184" s="74" t="s">
        <v>363</v>
      </c>
      <c r="B184" s="116" t="str">
        <f>VLOOKUP($A184,$A$16:$J$63,2,FALSE)</f>
        <v>PLACA TIPO R19-REGULAMENTAÇÃO (VELOCIDADE MÁXIMA)  - SUPORTE METÁLICO H= 2,20M, DIAM = 50 CM</v>
      </c>
      <c r="C184" s="117" t="str">
        <f>VLOOKUP($A184,$A$16:$J$63,3,FALSE)</f>
        <v>unid</v>
      </c>
      <c r="D184" s="95">
        <v>2</v>
      </c>
      <c r="E184" s="87">
        <f>VLOOKUP($A184,$A$16:$J$63,5,FALSE)</f>
        <v>542.29</v>
      </c>
      <c r="F184" s="87">
        <f>VLOOKUP($A184,$A$16:$J$63,6,FALSE)</f>
        <v>111.07</v>
      </c>
      <c r="G184" s="87">
        <f>VLOOKUP($A184,$A$16:$J$63,7,FALSE)</f>
        <v>653.36</v>
      </c>
      <c r="H184" s="88">
        <f t="shared" si="81"/>
        <v>1084.58</v>
      </c>
      <c r="I184" s="88">
        <f t="shared" si="82"/>
        <v>222.14</v>
      </c>
      <c r="J184" s="87">
        <f t="shared" si="83"/>
        <v>1306.72</v>
      </c>
      <c r="K184" s="263" t="str">
        <f>VLOOKUP($A184,$A$16:$K$63,11,FALSE)</f>
        <v>34723+21014</v>
      </c>
      <c r="L184" s="33"/>
      <c r="M184" s="33"/>
      <c r="N184" s="33"/>
      <c r="O184" s="32"/>
      <c r="P184" s="34"/>
      <c r="Q184" s="32"/>
      <c r="R184" s="56"/>
      <c r="S184" s="48"/>
      <c r="T184" s="49"/>
      <c r="U184" s="49"/>
      <c r="Y184" s="63"/>
      <c r="Z184" s="63"/>
    </row>
    <row r="185" spans="1:26" s="47" customFormat="1" ht="21" customHeight="1">
      <c r="A185" s="74" t="s">
        <v>364</v>
      </c>
      <c r="B185" s="116" t="str">
        <f>VLOOKUP($A185,$A$16:$J$63,2,FALSE)</f>
        <v>TACHA BIDIRECIONAL</v>
      </c>
      <c r="C185" s="117" t="str">
        <f>VLOOKUP($A185,$A$16:$J$63,3,FALSE)</f>
        <v>unid</v>
      </c>
      <c r="D185" s="95">
        <v>9</v>
      </c>
      <c r="E185" s="87">
        <f>VLOOKUP($A185,$A$16:$J$63,5,FALSE)</f>
        <v>23.96</v>
      </c>
      <c r="F185" s="87">
        <f>VLOOKUP($A185,$A$16:$J$63,6,FALSE)</f>
        <v>4.9000000000000004</v>
      </c>
      <c r="G185" s="87">
        <f>VLOOKUP($A185,$A$16:$J$63,7,FALSE)</f>
        <v>28.86</v>
      </c>
      <c r="H185" s="88">
        <f t="shared" si="81"/>
        <v>215.64000000000001</v>
      </c>
      <c r="I185" s="88">
        <f t="shared" si="82"/>
        <v>44.1</v>
      </c>
      <c r="J185" s="87">
        <f t="shared" si="83"/>
        <v>259.74</v>
      </c>
      <c r="K185" s="263" t="str">
        <f>VLOOKUP($A185,$A$16:$K$63,11,FALSE)</f>
        <v>sicro 5219606</v>
      </c>
      <c r="L185" s="33"/>
      <c r="M185" s="33"/>
      <c r="N185" s="33"/>
      <c r="O185" s="32"/>
      <c r="P185" s="34"/>
      <c r="Q185" s="32"/>
      <c r="R185" s="56"/>
      <c r="S185" s="48"/>
      <c r="T185" s="49"/>
      <c r="U185" s="49"/>
      <c r="Y185" s="63"/>
      <c r="Z185" s="63"/>
    </row>
    <row r="186" spans="1:26" s="47" customFormat="1" ht="21" customHeight="1">
      <c r="A186" s="76" t="str">
        <f>CONCATENATE("TOTAL DO ITEM ",A178," - ",B178)</f>
        <v>TOTAL DO ITEM 5 - SINALIZAÇÃO</v>
      </c>
      <c r="B186" s="77"/>
      <c r="C186" s="100"/>
      <c r="D186" s="100"/>
      <c r="E186" s="101"/>
      <c r="F186" s="101"/>
      <c r="G186" s="101"/>
      <c r="H186" s="91">
        <f>SUM(H179:H185)</f>
        <v>4110.97</v>
      </c>
      <c r="I186" s="91">
        <f>SUM(I179:I185)</f>
        <v>841.29</v>
      </c>
      <c r="J186" s="91">
        <f>SUM(J179:J185)</f>
        <v>4952.26</v>
      </c>
      <c r="K186" s="266"/>
      <c r="L186" s="33"/>
      <c r="M186" s="33"/>
      <c r="N186" s="33"/>
      <c r="O186" s="32"/>
      <c r="P186" s="34"/>
      <c r="Q186" s="32"/>
      <c r="R186" s="56"/>
      <c r="S186" s="48"/>
      <c r="T186" s="49"/>
      <c r="U186" s="49"/>
      <c r="Y186" s="63"/>
      <c r="Z186" s="63"/>
    </row>
    <row r="187" spans="1:26" s="47" customFormat="1" ht="21" customHeight="1">
      <c r="A187" s="342" t="str">
        <f>CONCATENATE("TOTAL ORÇAMENTO - ",B135)</f>
        <v>TOTAL ORÇAMENTO - LINHA SÍTIO - RUA DA IGREJA</v>
      </c>
      <c r="B187" s="343"/>
      <c r="C187" s="344"/>
      <c r="D187" s="344"/>
      <c r="E187" s="345"/>
      <c r="F187" s="345"/>
      <c r="G187" s="345"/>
      <c r="H187" s="349">
        <f>H147+H156+H167+H177+H186</f>
        <v>103254.93</v>
      </c>
      <c r="I187" s="349">
        <f>I147+I156+I167+I177+I186</f>
        <v>25760.219999999998</v>
      </c>
      <c r="J187" s="349">
        <f>J147+J156+J167+J177+J186</f>
        <v>129015.14999999998</v>
      </c>
      <c r="K187" s="350"/>
      <c r="L187" s="33"/>
      <c r="M187" s="33"/>
      <c r="N187" s="33"/>
      <c r="O187" s="32"/>
      <c r="P187" s="34"/>
      <c r="Q187" s="32"/>
      <c r="R187" s="56"/>
      <c r="S187" s="48"/>
      <c r="T187" s="49"/>
      <c r="U187" s="49"/>
      <c r="Y187" s="63"/>
      <c r="Z187" s="63"/>
    </row>
    <row r="188" spans="1:26" s="47" customFormat="1" ht="21" customHeight="1">
      <c r="A188" s="102" t="str">
        <f>A126</f>
        <v>BDI ADOTADO = 24,23%</v>
      </c>
      <c r="B188" s="119"/>
      <c r="E188" s="105"/>
      <c r="F188" s="105"/>
      <c r="H188" s="107"/>
      <c r="I188" s="107"/>
      <c r="J188" s="108"/>
      <c r="K188" s="107"/>
      <c r="R188" s="56"/>
      <c r="S188" s="48"/>
      <c r="T188" s="49"/>
      <c r="U188" s="49"/>
      <c r="Y188" s="63"/>
      <c r="Z188" s="63"/>
    </row>
    <row r="189" spans="1:26" s="47" customFormat="1" ht="21" customHeight="1">
      <c r="A189" s="102" t="s">
        <v>397</v>
      </c>
      <c r="B189" s="119"/>
      <c r="E189" s="105"/>
      <c r="F189" s="105"/>
      <c r="H189" s="107"/>
      <c r="I189" s="107"/>
      <c r="J189" s="108"/>
      <c r="K189" s="107"/>
      <c r="R189" s="56"/>
      <c r="S189" s="48"/>
      <c r="T189" s="49"/>
      <c r="U189" s="49"/>
      <c r="Y189" s="63"/>
      <c r="Z189" s="63"/>
    </row>
    <row r="190" spans="1:26" s="47" customFormat="1" ht="21" customHeight="1">
      <c r="A190" s="102" t="s">
        <v>398</v>
      </c>
      <c r="E190" s="105"/>
      <c r="H190" s="107"/>
      <c r="I190" s="107"/>
      <c r="J190" s="108"/>
      <c r="K190" s="107"/>
      <c r="R190" s="56"/>
      <c r="S190" s="48"/>
      <c r="T190" s="49"/>
      <c r="U190" s="49"/>
      <c r="Y190" s="63"/>
      <c r="Z190" s="63"/>
    </row>
    <row r="191" spans="1:26" ht="21.95" customHeight="1">
      <c r="B191" s="339"/>
      <c r="F191" s="335"/>
    </row>
    <row r="192" spans="1:26" ht="21.95" customHeight="1">
      <c r="B192" s="364" t="str">
        <f>$B$68</f>
        <v>Eng. Civil Lorenzo Schnorr Fornari</v>
      </c>
      <c r="F192" s="359" t="str">
        <f>$F$68</f>
        <v>Prefeitura Municipal</v>
      </c>
    </row>
    <row r="193" spans="2:6" ht="21.95" customHeight="1">
      <c r="B193" s="364" t="str">
        <f>$B$69</f>
        <v>CREA RS247702</v>
      </c>
      <c r="F193" s="359" t="str">
        <f>$F$69</f>
        <v>de Cruzeiro do Sul/RS</v>
      </c>
    </row>
  </sheetData>
  <mergeCells count="47">
    <mergeCell ref="A77:A78"/>
    <mergeCell ref="B77:B78"/>
    <mergeCell ref="C77:C78"/>
    <mergeCell ref="J77:J78"/>
    <mergeCell ref="K77:K78"/>
    <mergeCell ref="D72:F72"/>
    <mergeCell ref="G72:I72"/>
    <mergeCell ref="D77:D78"/>
    <mergeCell ref="E77:E78"/>
    <mergeCell ref="F77:F78"/>
    <mergeCell ref="G77:G78"/>
    <mergeCell ref="H77:H78"/>
    <mergeCell ref="I77:I78"/>
    <mergeCell ref="D15:D16"/>
    <mergeCell ref="G15:G16"/>
    <mergeCell ref="E15:E16"/>
    <mergeCell ref="H15:H16"/>
    <mergeCell ref="F15:F16"/>
    <mergeCell ref="I2:K2"/>
    <mergeCell ref="G4:H4"/>
    <mergeCell ref="G5:H5"/>
    <mergeCell ref="G6:H6"/>
    <mergeCell ref="I15:I16"/>
    <mergeCell ref="I8:K8"/>
    <mergeCell ref="K15:K16"/>
    <mergeCell ref="G7:H7"/>
    <mergeCell ref="G8:H8"/>
    <mergeCell ref="A13:K13"/>
    <mergeCell ref="G9:H9"/>
    <mergeCell ref="I9:K9"/>
    <mergeCell ref="J15:J16"/>
    <mergeCell ref="A15:A16"/>
    <mergeCell ref="B15:B16"/>
    <mergeCell ref="C15:C16"/>
    <mergeCell ref="J139:J140"/>
    <mergeCell ref="K139:K140"/>
    <mergeCell ref="D134:F134"/>
    <mergeCell ref="G134:I134"/>
    <mergeCell ref="A139:A140"/>
    <mergeCell ref="B139:B140"/>
    <mergeCell ref="C139:C140"/>
    <mergeCell ref="D139:D140"/>
    <mergeCell ref="E139:E140"/>
    <mergeCell ref="F139:F140"/>
    <mergeCell ref="G139:G140"/>
    <mergeCell ref="H139:H140"/>
    <mergeCell ref="I139:I140"/>
  </mergeCells>
  <phoneticPr fontId="82" type="noConversion"/>
  <printOptions horizontalCentered="1"/>
  <pageMargins left="0.39370078740157483" right="0.39370078740157483" top="0.39370078740157483" bottom="0.39370078740157483" header="0.19685039370078741" footer="0.19685039370078741"/>
  <pageSetup paperSize="9" scale="42" fitToHeight="0" orientation="landscape" r:id="rId1"/>
  <headerFooter alignWithMargins="0"/>
  <rowBreaks count="4" manualBreakCount="4">
    <brk id="47" max="10" man="1"/>
    <brk id="70" max="10" man="1"/>
    <brk id="109" max="10" man="1"/>
    <brk id="132" max="1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5">
    <tabColor theme="0" tint="-0.14999847407452621"/>
  </sheetPr>
  <dimension ref="A1:AK123"/>
  <sheetViews>
    <sheetView showGridLines="0" showZeros="0" view="pageBreakPreview" zoomScale="85" zoomScaleNormal="70" zoomScaleSheetLayoutView="85" workbookViewId="0">
      <selection activeCell="N13" sqref="N13"/>
    </sheetView>
  </sheetViews>
  <sheetFormatPr defaultRowHeight="12.75"/>
  <cols>
    <col min="1" max="1" width="9.28515625" style="1" customWidth="1"/>
    <col min="2" max="2" width="47.28515625" style="1" customWidth="1"/>
    <col min="3" max="3" width="20.7109375" style="1" customWidth="1"/>
    <col min="4" max="4" width="10.42578125" style="3" customWidth="1"/>
    <col min="5" max="5" width="11.28515625" style="3" customWidth="1"/>
    <col min="6" max="6" width="19.42578125" style="1" customWidth="1"/>
    <col min="7" max="7" width="11.28515625" style="3" customWidth="1"/>
    <col min="8" max="8" width="20" style="2" customWidth="1"/>
    <col min="9" max="9" width="11.28515625" style="3" customWidth="1"/>
    <col min="10" max="10" width="20" style="2" customWidth="1"/>
    <col min="11" max="11" width="11.28515625" style="3" customWidth="1"/>
    <col min="12" max="12" width="20.28515625" style="2" customWidth="1"/>
    <col min="13" max="13" width="11.28515625" style="3" customWidth="1"/>
    <col min="14" max="15" width="18.42578125" style="2" customWidth="1"/>
    <col min="16" max="16" width="11.28515625" style="3" customWidth="1"/>
    <col min="17" max="17" width="18.42578125" style="2" customWidth="1"/>
    <col min="18" max="18" width="11.28515625" style="3" customWidth="1"/>
    <col min="19" max="19" width="18.42578125" style="2" customWidth="1"/>
    <col min="20" max="20" width="11.28515625" style="3" customWidth="1"/>
    <col min="21" max="21" width="18.42578125" style="2" customWidth="1"/>
    <col min="22" max="22" width="11.28515625" style="3" customWidth="1"/>
    <col min="23" max="23" width="18.42578125" style="2" customWidth="1"/>
    <col min="24" max="24" width="11.28515625" style="3" customWidth="1"/>
    <col min="25" max="25" width="18.42578125" style="2" customWidth="1"/>
    <col min="26" max="26" width="11.28515625" style="3" customWidth="1"/>
    <col min="27" max="27" width="18.42578125" style="2" customWidth="1"/>
    <col min="28" max="28" width="11.28515625" style="3" customWidth="1"/>
    <col min="29" max="29" width="18.42578125" style="2" customWidth="1"/>
    <col min="30" max="30" width="11.28515625" style="3" customWidth="1"/>
    <col min="31" max="31" width="18.42578125" style="2" customWidth="1"/>
    <col min="32" max="32" width="11.28515625" style="3" customWidth="1"/>
    <col min="33" max="33" width="18.42578125" style="2" customWidth="1"/>
    <col min="34" max="16384" width="9.140625" style="1"/>
  </cols>
  <sheetData>
    <row r="1" spans="1:33" s="6" customFormat="1" ht="21.95" customHeight="1">
      <c r="A1" s="213"/>
      <c r="B1" s="215"/>
      <c r="C1" s="173"/>
      <c r="D1" s="173"/>
      <c r="E1" s="174"/>
      <c r="F1" s="175"/>
      <c r="G1" s="174"/>
      <c r="H1" s="176"/>
      <c r="I1" s="174"/>
      <c r="J1" s="176"/>
      <c r="K1" s="174"/>
      <c r="L1" s="176"/>
      <c r="M1" s="174"/>
      <c r="N1" s="176"/>
      <c r="P1" s="5"/>
      <c r="R1" s="5"/>
      <c r="T1" s="5"/>
      <c r="V1" s="5"/>
      <c r="X1" s="5"/>
      <c r="Z1" s="5"/>
      <c r="AB1" s="5"/>
      <c r="AD1" s="5"/>
      <c r="AF1" s="5"/>
    </row>
    <row r="2" spans="1:33" s="6" customFormat="1" ht="21.95" customHeight="1">
      <c r="A2" s="196" t="str">
        <f>ORÇAMENTO!$A$7</f>
        <v>CRUZEIRO DO SUL/RS</v>
      </c>
      <c r="B2" s="215"/>
      <c r="C2" s="173"/>
      <c r="D2" s="173"/>
      <c r="E2" s="174"/>
      <c r="F2" s="175"/>
      <c r="G2" s="174"/>
      <c r="H2" s="176"/>
      <c r="I2" s="174"/>
      <c r="J2" s="176"/>
      <c r="K2" s="174"/>
      <c r="L2" s="176"/>
      <c r="M2" s="174"/>
      <c r="N2" s="336" t="str">
        <f>ORÇAMENTO!I2</f>
        <v>Cruzeiro do Sul/RS, janeiro de 2022</v>
      </c>
      <c r="P2" s="5"/>
      <c r="R2" s="5"/>
      <c r="T2" s="5"/>
      <c r="V2" s="5"/>
      <c r="X2" s="5"/>
      <c r="Z2" s="5"/>
      <c r="AB2" s="5"/>
      <c r="AD2" s="5"/>
      <c r="AF2" s="5"/>
    </row>
    <row r="3" spans="1:33" s="6" customFormat="1" ht="21.95" customHeight="1">
      <c r="A3" s="195" t="str">
        <f>ORÇAMENTO!A8</f>
        <v>LINHA SÍTIO</v>
      </c>
      <c r="B3" s="215"/>
      <c r="C3" s="173"/>
      <c r="D3" s="173"/>
      <c r="E3" s="174"/>
      <c r="F3" s="175"/>
      <c r="G3" s="174"/>
      <c r="H3" s="176"/>
      <c r="I3" s="174"/>
      <c r="J3" s="176"/>
      <c r="K3" s="174"/>
      <c r="L3" s="176"/>
      <c r="M3" s="174"/>
      <c r="N3" s="176"/>
      <c r="P3" s="5"/>
      <c r="R3" s="5"/>
      <c r="T3" s="5"/>
      <c r="V3" s="5"/>
      <c r="X3" s="5"/>
      <c r="Z3" s="5"/>
      <c r="AB3" s="5"/>
      <c r="AD3" s="5"/>
      <c r="AF3" s="5"/>
    </row>
    <row r="4" spans="1:33" s="6" customFormat="1" ht="21.95" customHeight="1">
      <c r="B4" s="213"/>
      <c r="C4" s="173"/>
      <c r="D4" s="173"/>
      <c r="E4" s="174"/>
      <c r="F4" s="175"/>
      <c r="G4" s="174"/>
      <c r="H4" s="176"/>
      <c r="I4" s="174"/>
      <c r="J4" s="176"/>
      <c r="K4" s="174"/>
      <c r="L4" s="176"/>
      <c r="M4" s="174"/>
      <c r="N4" s="176"/>
      <c r="P4" s="5"/>
      <c r="R4" s="5"/>
      <c r="T4" s="5"/>
      <c r="V4" s="5"/>
      <c r="X4" s="5"/>
      <c r="Z4" s="5"/>
      <c r="AB4" s="5"/>
      <c r="AD4" s="5"/>
      <c r="AF4" s="5"/>
    </row>
    <row r="5" spans="1:33" s="6" customFormat="1" ht="21.95" customHeight="1">
      <c r="A5" s="195">
        <f>ORÇAMENTO!$B$9</f>
        <v>0</v>
      </c>
      <c r="B5" s="214"/>
      <c r="C5" s="173"/>
      <c r="D5" s="173"/>
      <c r="E5" s="174"/>
      <c r="F5" s="175"/>
      <c r="G5" s="174"/>
      <c r="H5" s="176"/>
      <c r="I5" s="174"/>
      <c r="J5" s="176"/>
      <c r="K5" s="174"/>
      <c r="L5" s="176"/>
      <c r="M5" s="174"/>
      <c r="N5" s="176"/>
      <c r="P5" s="5"/>
      <c r="R5" s="5"/>
      <c r="T5" s="5"/>
      <c r="V5" s="5"/>
      <c r="X5" s="5"/>
      <c r="Z5" s="5"/>
      <c r="AB5" s="5"/>
      <c r="AD5" s="5"/>
      <c r="AF5" s="5"/>
    </row>
    <row r="6" spans="1:33" s="6" customFormat="1" ht="21.95" customHeight="1">
      <c r="A6" s="397"/>
      <c r="B6" s="397"/>
      <c r="C6" s="397"/>
      <c r="D6" s="173"/>
      <c r="E6" s="174"/>
      <c r="F6" s="175"/>
      <c r="G6" s="174"/>
      <c r="H6" s="176"/>
      <c r="I6" s="174"/>
      <c r="J6" s="176"/>
      <c r="K6" s="174"/>
      <c r="L6" s="176"/>
      <c r="M6" s="174"/>
      <c r="N6" s="176"/>
      <c r="P6" s="5"/>
      <c r="R6" s="5"/>
      <c r="T6" s="5"/>
      <c r="V6" s="5"/>
      <c r="X6" s="5"/>
      <c r="Z6" s="5"/>
      <c r="AB6" s="5"/>
      <c r="AD6" s="5"/>
      <c r="AF6" s="5"/>
    </row>
    <row r="7" spans="1:33" s="30" customFormat="1" ht="35.25" customHeight="1">
      <c r="O7" s="31"/>
      <c r="P7" s="31"/>
      <c r="Q7" s="31"/>
      <c r="R7" s="31"/>
      <c r="S7" s="31"/>
      <c r="T7" s="31"/>
      <c r="U7" s="31"/>
      <c r="V7" s="31"/>
      <c r="W7" s="31"/>
      <c r="X7" s="31"/>
      <c r="Y7" s="31"/>
      <c r="Z7" s="31"/>
      <c r="AA7" s="31"/>
      <c r="AB7" s="31"/>
      <c r="AC7" s="31"/>
      <c r="AD7" s="31"/>
      <c r="AE7" s="31"/>
      <c r="AF7" s="31"/>
      <c r="AG7" s="31"/>
    </row>
    <row r="8" spans="1:33" s="30" customFormat="1" ht="35.25" customHeight="1">
      <c r="A8" s="403" t="s">
        <v>408</v>
      </c>
      <c r="B8" s="403"/>
      <c r="C8" s="403"/>
      <c r="D8" s="403"/>
      <c r="E8" s="403"/>
      <c r="F8" s="403"/>
      <c r="G8" s="403"/>
      <c r="H8" s="403"/>
      <c r="I8" s="403"/>
      <c r="J8" s="403"/>
      <c r="K8" s="403"/>
      <c r="L8" s="403"/>
      <c r="M8" s="403"/>
      <c r="N8" s="403"/>
      <c r="O8" s="31"/>
      <c r="P8" s="31"/>
      <c r="Q8" s="31"/>
      <c r="R8" s="31"/>
      <c r="S8" s="31"/>
      <c r="T8" s="31"/>
      <c r="U8" s="31"/>
      <c r="V8" s="31"/>
      <c r="W8" s="31"/>
      <c r="X8" s="31"/>
      <c r="Y8" s="31"/>
      <c r="Z8" s="31"/>
      <c r="AA8" s="31"/>
      <c r="AB8" s="31"/>
      <c r="AC8" s="31"/>
      <c r="AD8" s="31"/>
      <c r="AE8" s="31"/>
      <c r="AF8" s="31"/>
      <c r="AG8" s="31"/>
    </row>
    <row r="9" spans="1:33" s="30" customFormat="1" ht="12" customHeight="1">
      <c r="A9" s="177"/>
      <c r="B9" s="177"/>
      <c r="C9" s="177"/>
      <c r="D9" s="177"/>
      <c r="E9" s="177"/>
      <c r="F9" s="177"/>
      <c r="G9" s="177"/>
      <c r="H9" s="177"/>
      <c r="I9" s="177"/>
      <c r="J9" s="177"/>
      <c r="K9" s="177"/>
      <c r="L9" s="177"/>
      <c r="M9" s="216"/>
      <c r="N9" s="216"/>
      <c r="O9" s="31"/>
      <c r="P9" s="31"/>
      <c r="Q9" s="31"/>
      <c r="R9" s="31"/>
      <c r="S9" s="31"/>
      <c r="T9" s="31"/>
      <c r="U9" s="31"/>
      <c r="V9" s="31"/>
      <c r="W9" s="31"/>
      <c r="X9" s="31"/>
      <c r="Y9" s="31"/>
      <c r="Z9" s="31"/>
      <c r="AA9" s="31"/>
      <c r="AB9" s="31"/>
      <c r="AC9" s="31"/>
      <c r="AD9" s="31"/>
      <c r="AE9" s="31"/>
      <c r="AF9" s="31"/>
      <c r="AG9" s="31"/>
    </row>
    <row r="10" spans="1:33" ht="19.5" customHeight="1">
      <c r="A10" s="400" t="s">
        <v>6</v>
      </c>
      <c r="B10" s="401" t="s">
        <v>36</v>
      </c>
      <c r="C10" s="404" t="s">
        <v>19</v>
      </c>
      <c r="D10" s="404" t="s">
        <v>37</v>
      </c>
      <c r="E10" s="398" t="s">
        <v>38</v>
      </c>
      <c r="F10" s="399"/>
      <c r="G10" s="398" t="s">
        <v>39</v>
      </c>
      <c r="H10" s="399"/>
      <c r="I10" s="398" t="s">
        <v>40</v>
      </c>
      <c r="J10" s="399"/>
      <c r="K10" s="398" t="s">
        <v>41</v>
      </c>
      <c r="L10" s="399"/>
      <c r="M10" s="398" t="s">
        <v>164</v>
      </c>
      <c r="N10" s="399"/>
    </row>
    <row r="11" spans="1:33" ht="28.5" customHeight="1">
      <c r="A11" s="400"/>
      <c r="B11" s="402"/>
      <c r="C11" s="404"/>
      <c r="D11" s="404"/>
      <c r="E11" s="351" t="s">
        <v>42</v>
      </c>
      <c r="F11" s="352" t="s">
        <v>43</v>
      </c>
      <c r="G11" s="351" t="s">
        <v>42</v>
      </c>
      <c r="H11" s="352" t="s">
        <v>43</v>
      </c>
      <c r="I11" s="351" t="s">
        <v>42</v>
      </c>
      <c r="J11" s="352" t="s">
        <v>43</v>
      </c>
      <c r="K11" s="351" t="s">
        <v>42</v>
      </c>
      <c r="L11" s="352" t="s">
        <v>43</v>
      </c>
      <c r="M11" s="351" t="s">
        <v>42</v>
      </c>
      <c r="N11" s="352" t="s">
        <v>43</v>
      </c>
      <c r="O11" s="5"/>
    </row>
    <row r="12" spans="1:33" ht="25.5" customHeight="1">
      <c r="A12" s="178">
        <v>1</v>
      </c>
      <c r="B12" s="179" t="str">
        <f>VLOOKUP($A12,ORÇAMENTO!$A$15:$J$63,2,FALSE)</f>
        <v>SERVIÇOS INICIAIS</v>
      </c>
      <c r="C12" s="280">
        <f ca="1">ORÇAMENTO!J23</f>
        <v>34837.1</v>
      </c>
      <c r="D12" s="180">
        <f ca="1">C12/$C$17</f>
        <v>0.12079931697626207</v>
      </c>
      <c r="E12" s="181">
        <v>0.4</v>
      </c>
      <c r="F12" s="182">
        <f ca="1">ROUND($C12*E12,2)</f>
        <v>13934.84</v>
      </c>
      <c r="G12" s="181">
        <v>0.6</v>
      </c>
      <c r="H12" s="182">
        <f ca="1">ROUND($C12*G12,2)</f>
        <v>20902.259999999998</v>
      </c>
      <c r="I12" s="181"/>
      <c r="J12" s="182">
        <f t="shared" ref="J12:J15" ca="1" si="0">ROUND($C12*I12,2)</f>
        <v>0</v>
      </c>
      <c r="K12" s="181"/>
      <c r="L12" s="182">
        <f t="shared" ref="L12:L15" ca="1" si="1">ROUND($C12*K12,2)</f>
        <v>0</v>
      </c>
      <c r="M12" s="181"/>
      <c r="N12" s="182">
        <f ca="1">ROUND($C12*M12,2)</f>
        <v>0</v>
      </c>
      <c r="O12" s="5"/>
    </row>
    <row r="13" spans="1:33" ht="25.5" customHeight="1">
      <c r="A13" s="183">
        <v>2</v>
      </c>
      <c r="B13" s="179" t="str">
        <f>VLOOKUP($A13,ORÇAMENTO!$A$15:$J$63,2,FALSE)</f>
        <v>TERRAPLENAGEM</v>
      </c>
      <c r="C13" s="280">
        <f ca="1">ORÇAMENTO!J32</f>
        <v>14905.43</v>
      </c>
      <c r="D13" s="180">
        <f t="shared" ref="D13:D16" ca="1" si="2">C13/$C$17</f>
        <v>5.1685294219021849E-2</v>
      </c>
      <c r="E13" s="181">
        <v>0.7</v>
      </c>
      <c r="F13" s="182">
        <f ca="1">ROUND($C13*E13,2)</f>
        <v>10433.799999999999</v>
      </c>
      <c r="G13" s="181">
        <v>0.3</v>
      </c>
      <c r="H13" s="182">
        <f ca="1">ROUND($C13*G13,2)</f>
        <v>4471.63</v>
      </c>
      <c r="I13" s="181"/>
      <c r="J13" s="182">
        <f t="shared" ca="1" si="0"/>
        <v>0</v>
      </c>
      <c r="K13" s="181"/>
      <c r="L13" s="182">
        <f ca="1">ROUND($C13*K13,2)</f>
        <v>0</v>
      </c>
      <c r="M13" s="181"/>
      <c r="N13" s="182">
        <f t="shared" ref="N13:N15" ca="1" si="3">ROUND($C13*M13,2)</f>
        <v>0</v>
      </c>
      <c r="O13" s="5"/>
    </row>
    <row r="14" spans="1:33" ht="25.5" customHeight="1">
      <c r="A14" s="178">
        <v>3</v>
      </c>
      <c r="B14" s="179" t="str">
        <f>VLOOKUP($A14,ORÇAMENTO!$A$15:$J$63,2,FALSE)</f>
        <v>DRENAGEM</v>
      </c>
      <c r="C14" s="280">
        <f ca="1">ORÇAMENTO!J43</f>
        <v>18523.269999999997</v>
      </c>
      <c r="D14" s="180">
        <f t="shared" ca="1" si="2"/>
        <v>6.4230328131988187E-2</v>
      </c>
      <c r="E14" s="181">
        <v>0.6</v>
      </c>
      <c r="F14" s="182">
        <f t="shared" ref="F14:F15" ca="1" si="4">ROUND($C14*E14,2)</f>
        <v>11113.96</v>
      </c>
      <c r="G14" s="181">
        <v>0.4</v>
      </c>
      <c r="H14" s="182">
        <f ca="1">ROUND($C14*G14,2)</f>
        <v>7409.31</v>
      </c>
      <c r="I14" s="181"/>
      <c r="J14" s="182">
        <f t="shared" ca="1" si="0"/>
        <v>0</v>
      </c>
      <c r="K14" s="181"/>
      <c r="L14" s="182">
        <f t="shared" ca="1" si="1"/>
        <v>0</v>
      </c>
      <c r="M14" s="181"/>
      <c r="N14" s="182">
        <f t="shared" ca="1" si="3"/>
        <v>0</v>
      </c>
      <c r="O14" s="5"/>
    </row>
    <row r="15" spans="1:33" ht="25.5" customHeight="1">
      <c r="A15" s="183">
        <v>4</v>
      </c>
      <c r="B15" s="179" t="str">
        <f>VLOOKUP($A15,ORÇAMENTO!$A$15:$J$63,2,FALSE)</f>
        <v>PAVIMENTAÇÃO</v>
      </c>
      <c r="C15" s="280">
        <f ca="1">ORÇAMENTO!J53</f>
        <v>209307.2</v>
      </c>
      <c r="D15" s="180">
        <f t="shared" ca="1" si="2"/>
        <v>0.72578276602282865</v>
      </c>
      <c r="E15" s="181">
        <v>0.25</v>
      </c>
      <c r="F15" s="182">
        <f t="shared" ca="1" si="4"/>
        <v>52326.8</v>
      </c>
      <c r="G15" s="181">
        <v>0.75</v>
      </c>
      <c r="H15" s="182">
        <f t="shared" ref="H15" ca="1" si="5">ROUND($C15*G15,2)</f>
        <v>156980.4</v>
      </c>
      <c r="I15" s="181"/>
      <c r="J15" s="182">
        <f t="shared" ca="1" si="0"/>
        <v>0</v>
      </c>
      <c r="K15" s="181"/>
      <c r="L15" s="182">
        <f t="shared" ca="1" si="1"/>
        <v>0</v>
      </c>
      <c r="M15" s="181"/>
      <c r="N15" s="182">
        <f t="shared" ca="1" si="3"/>
        <v>0</v>
      </c>
      <c r="O15" s="5"/>
    </row>
    <row r="16" spans="1:33" ht="25.5" customHeight="1">
      <c r="A16" s="183">
        <v>5</v>
      </c>
      <c r="B16" s="179" t="str">
        <f>VLOOKUP($A16,ORÇAMENTO!$A$15:$J$63,2,FALSE)</f>
        <v>SINALIZAÇÃO</v>
      </c>
      <c r="C16" s="280">
        <f ca="1">ORÇAMENTO!J62</f>
        <v>10815.22</v>
      </c>
      <c r="D16" s="180">
        <f t="shared" ca="1" si="2"/>
        <v>3.7502294649899362E-2</v>
      </c>
      <c r="E16" s="181"/>
      <c r="F16" s="182">
        <f t="shared" ref="F16" ca="1" si="6">ROUND($C16*E16,2)</f>
        <v>0</v>
      </c>
      <c r="G16" s="181">
        <v>1</v>
      </c>
      <c r="H16" s="182">
        <f t="shared" ref="H16" ca="1" si="7">ROUND($C16*G16,2)</f>
        <v>10815.22</v>
      </c>
      <c r="I16" s="181"/>
      <c r="J16" s="182">
        <f t="shared" ref="J16" ca="1" si="8">ROUND($C16*I16,2)</f>
        <v>0</v>
      </c>
      <c r="K16" s="181"/>
      <c r="L16" s="182">
        <f t="shared" ref="L16" ca="1" si="9">ROUND($C16*K16,2)</f>
        <v>0</v>
      </c>
      <c r="M16" s="181"/>
      <c r="N16" s="182">
        <f t="shared" ref="N16" ca="1" si="10">ROUND($C16*M16,2)</f>
        <v>0</v>
      </c>
      <c r="O16" s="5"/>
    </row>
    <row r="17" spans="1:37" ht="36.75" customHeight="1">
      <c r="A17" s="184" t="s">
        <v>44</v>
      </c>
      <c r="B17" s="185"/>
      <c r="C17" s="405">
        <f ca="1">SUM(C12:C16)</f>
        <v>288388.21999999997</v>
      </c>
      <c r="D17" s="407">
        <f ca="1">SUM(D12:D16)</f>
        <v>1</v>
      </c>
      <c r="E17" s="181">
        <f ca="1">F17/$C17</f>
        <v>0.30448331072607615</v>
      </c>
      <c r="F17" s="186">
        <f ca="1">SUM(F12:F16)</f>
        <v>87809.4</v>
      </c>
      <c r="G17" s="181">
        <f ca="1">H17/$C17</f>
        <v>0.69551668927392385</v>
      </c>
      <c r="H17" s="186">
        <f ca="1">SUM(H12:H16)</f>
        <v>200578.81999999998</v>
      </c>
      <c r="I17" s="181">
        <f ca="1">J17/$C17</f>
        <v>0</v>
      </c>
      <c r="J17" s="186">
        <f ca="1">SUM(J12:J16)</f>
        <v>0</v>
      </c>
      <c r="K17" s="181">
        <f ca="1">L17/$C17</f>
        <v>0</v>
      </c>
      <c r="L17" s="186">
        <f ca="1">SUM(L12:L16)</f>
        <v>0</v>
      </c>
      <c r="M17" s="181"/>
      <c r="N17" s="186">
        <f ca="1">SUM(N12:N16)</f>
        <v>0</v>
      </c>
      <c r="AK17" s="1" t="s">
        <v>74</v>
      </c>
    </row>
    <row r="18" spans="1:37" ht="36.75" customHeight="1">
      <c r="A18" s="187" t="s">
        <v>45</v>
      </c>
      <c r="B18" s="184"/>
      <c r="C18" s="406"/>
      <c r="D18" s="408"/>
      <c r="E18" s="181">
        <f ca="1">E17</f>
        <v>0.30448331072607615</v>
      </c>
      <c r="F18" s="188">
        <f ca="1">F17</f>
        <v>87809.4</v>
      </c>
      <c r="G18" s="181">
        <f ca="1">E18+G17</f>
        <v>1</v>
      </c>
      <c r="H18" s="188">
        <f ca="1">H17+F18</f>
        <v>288388.21999999997</v>
      </c>
      <c r="I18" s="181">
        <f ca="1">G18+I17</f>
        <v>1</v>
      </c>
      <c r="J18" s="188">
        <f ca="1">J17+H18</f>
        <v>288388.21999999997</v>
      </c>
      <c r="K18" s="181">
        <f ca="1">I18+K17</f>
        <v>1</v>
      </c>
      <c r="L18" s="188">
        <f ca="1">L17+J18</f>
        <v>288388.21999999997</v>
      </c>
      <c r="M18" s="181">
        <f ca="1">K18+M17</f>
        <v>1</v>
      </c>
      <c r="N18" s="188">
        <f ca="1">N17+L18</f>
        <v>288388.21999999997</v>
      </c>
    </row>
    <row r="19" spans="1:37">
      <c r="A19" s="173"/>
      <c r="B19" s="173"/>
      <c r="C19" s="173"/>
      <c r="D19" s="217"/>
      <c r="E19" s="217"/>
      <c r="F19" s="218"/>
      <c r="G19" s="217"/>
      <c r="H19" s="218"/>
      <c r="I19" s="217"/>
      <c r="J19" s="218"/>
      <c r="K19" s="217"/>
      <c r="L19" s="218"/>
      <c r="M19" s="173"/>
      <c r="N19" s="173"/>
      <c r="O19" s="4"/>
      <c r="S19" s="4"/>
      <c r="W19" s="4"/>
      <c r="AA19" s="4"/>
      <c r="AE19" s="4"/>
    </row>
    <row r="20" spans="1:37">
      <c r="A20" s="173"/>
      <c r="B20" s="173"/>
      <c r="C20" s="173"/>
      <c r="D20" s="217"/>
      <c r="E20" s="217"/>
      <c r="F20" s="218"/>
      <c r="G20" s="217"/>
      <c r="H20" s="218"/>
      <c r="I20" s="217"/>
      <c r="J20" s="218"/>
      <c r="K20" s="217"/>
      <c r="L20" s="218"/>
      <c r="M20" s="217"/>
      <c r="N20" s="218"/>
    </row>
    <row r="21" spans="1:37">
      <c r="A21" s="173"/>
      <c r="B21" s="173"/>
      <c r="C21" s="173"/>
      <c r="D21" s="217"/>
      <c r="E21" s="217"/>
      <c r="F21" s="173"/>
      <c r="G21" s="217"/>
      <c r="H21" s="218"/>
      <c r="I21" s="217"/>
      <c r="J21" s="218"/>
      <c r="K21" s="217"/>
      <c r="L21" s="218"/>
      <c r="M21" s="217"/>
      <c r="N21" s="218"/>
    </row>
    <row r="22" spans="1:37">
      <c r="A22" s="173"/>
      <c r="B22" s="173"/>
      <c r="C22" s="173"/>
      <c r="D22" s="217"/>
      <c r="E22" s="217"/>
      <c r="F22" s="173"/>
      <c r="G22" s="217"/>
      <c r="H22" s="218"/>
      <c r="I22" s="217"/>
      <c r="J22" s="218"/>
      <c r="K22" s="217"/>
      <c r="L22" s="218"/>
      <c r="M22" s="217"/>
      <c r="N22" s="218"/>
    </row>
    <row r="23" spans="1:37">
      <c r="D23" s="1"/>
      <c r="E23" s="1"/>
      <c r="G23" s="1"/>
      <c r="H23" s="1"/>
      <c r="I23" s="1"/>
      <c r="J23" s="1"/>
      <c r="K23" s="1"/>
      <c r="L23" s="1"/>
      <c r="M23" s="1"/>
      <c r="N23" s="1"/>
    </row>
    <row r="24" spans="1:37">
      <c r="D24" s="1"/>
      <c r="E24" s="1"/>
      <c r="G24" s="1"/>
      <c r="H24" s="1"/>
      <c r="I24" s="1"/>
      <c r="J24" s="1"/>
      <c r="K24" s="1"/>
      <c r="L24" s="1"/>
      <c r="M24" s="1"/>
      <c r="N24" s="1"/>
    </row>
    <row r="25" spans="1:37" ht="15.75">
      <c r="A25" s="173"/>
      <c r="B25" s="173"/>
      <c r="C25" s="335" t="str">
        <f>ORÇAMENTO!B68</f>
        <v>Eng. Civil Lorenzo Schnorr Fornari</v>
      </c>
      <c r="D25" s="217"/>
      <c r="E25" s="217"/>
      <c r="F25" s="173"/>
      <c r="G25" s="217"/>
      <c r="H25" s="218"/>
      <c r="I25" s="395" t="str">
        <f>ORÇAMENTO!F130</f>
        <v>Prefeitura Municipal</v>
      </c>
      <c r="J25" s="395"/>
      <c r="K25" s="395"/>
      <c r="L25" s="395"/>
      <c r="M25" s="217"/>
      <c r="N25" s="218"/>
    </row>
    <row r="26" spans="1:37" ht="15.75">
      <c r="B26" s="335"/>
      <c r="C26" s="335" t="str">
        <f>ORÇAMENTO!B69</f>
        <v>CREA RS247702</v>
      </c>
      <c r="D26" s="335"/>
      <c r="E26" s="335"/>
      <c r="F26" s="335"/>
      <c r="G26" s="335"/>
      <c r="H26" s="335"/>
      <c r="I26" s="396" t="str">
        <f>ORÇAMENTO!F131</f>
        <v>de Cruzeiro do Sul/RS</v>
      </c>
      <c r="J26" s="396"/>
      <c r="K26" s="396"/>
      <c r="L26" s="396"/>
      <c r="M26" s="335"/>
      <c r="N26" s="335"/>
    </row>
    <row r="27" spans="1:37" ht="15.75">
      <c r="B27" s="335"/>
      <c r="C27" s="335"/>
      <c r="D27" s="335"/>
      <c r="E27" s="335"/>
      <c r="F27" s="335"/>
      <c r="G27" s="335"/>
      <c r="H27" s="335"/>
      <c r="I27" s="335"/>
      <c r="J27" s="335"/>
      <c r="K27" s="335"/>
      <c r="L27" s="335"/>
      <c r="M27" s="335"/>
      <c r="N27" s="335"/>
    </row>
    <row r="28" spans="1:37">
      <c r="A28" s="173"/>
      <c r="B28" s="173"/>
      <c r="C28" s="173"/>
      <c r="D28" s="217"/>
      <c r="E28" s="217"/>
      <c r="F28" s="173"/>
      <c r="G28" s="217"/>
      <c r="H28" s="218"/>
      <c r="I28" s="217"/>
      <c r="J28" s="218"/>
      <c r="K28" s="217"/>
      <c r="L28" s="218"/>
      <c r="M28" s="217"/>
      <c r="N28" s="218"/>
    </row>
    <row r="29" spans="1:37">
      <c r="A29" s="173"/>
      <c r="B29" s="173"/>
      <c r="C29" s="173"/>
      <c r="D29" s="217"/>
      <c r="E29" s="217"/>
      <c r="F29" s="173"/>
      <c r="G29" s="217"/>
      <c r="H29" s="218"/>
      <c r="I29" s="217"/>
      <c r="J29" s="218"/>
      <c r="K29" s="217"/>
      <c r="L29" s="218"/>
      <c r="M29" s="217"/>
      <c r="N29" s="218"/>
    </row>
    <row r="30" spans="1:37">
      <c r="A30" s="173"/>
      <c r="B30" s="173"/>
      <c r="C30" s="173"/>
      <c r="D30" s="217"/>
      <c r="E30" s="217"/>
      <c r="F30" s="173"/>
      <c r="G30" s="217"/>
      <c r="H30" s="218"/>
      <c r="I30" s="217"/>
      <c r="J30" s="218"/>
      <c r="K30" s="217"/>
      <c r="L30" s="218"/>
      <c r="M30" s="217"/>
      <c r="N30" s="218"/>
    </row>
    <row r="31" spans="1:37">
      <c r="A31" s="173"/>
      <c r="B31" s="173"/>
      <c r="C31" s="173"/>
      <c r="D31" s="217"/>
      <c r="E31" s="217"/>
      <c r="F31" s="173"/>
      <c r="G31" s="217"/>
      <c r="H31" s="218"/>
      <c r="I31" s="217"/>
      <c r="J31" s="218"/>
      <c r="K31" s="217"/>
      <c r="L31" s="218"/>
      <c r="M31" s="217"/>
      <c r="N31" s="218"/>
    </row>
    <row r="121" ht="9.75" customHeight="1"/>
    <row r="122" ht="9.75" customHeight="1"/>
    <row r="123" ht="9.75" customHeight="1"/>
  </sheetData>
  <mergeCells count="15">
    <mergeCell ref="I25:L25"/>
    <mergeCell ref="I26:L26"/>
    <mergeCell ref="A6:C6"/>
    <mergeCell ref="I10:J10"/>
    <mergeCell ref="K10:L10"/>
    <mergeCell ref="A10:A11"/>
    <mergeCell ref="B10:B11"/>
    <mergeCell ref="A8:N8"/>
    <mergeCell ref="D10:D11"/>
    <mergeCell ref="E10:F10"/>
    <mergeCell ref="C17:C18"/>
    <mergeCell ref="D17:D18"/>
    <mergeCell ref="C10:C11"/>
    <mergeCell ref="M10:N10"/>
    <mergeCell ref="G10:H10"/>
  </mergeCells>
  <conditionalFormatting sqref="E11 D10:E10">
    <cfRule type="cellIs" dxfId="32" priority="69" stopIfTrue="1" operator="lessThan">
      <formula>0</formula>
    </cfRule>
  </conditionalFormatting>
  <conditionalFormatting sqref="I10:I11">
    <cfRule type="cellIs" dxfId="31" priority="59" stopIfTrue="1" operator="lessThan">
      <formula>0</formula>
    </cfRule>
  </conditionalFormatting>
  <conditionalFormatting sqref="G10:G11">
    <cfRule type="cellIs" dxfId="30" priority="60" stopIfTrue="1" operator="lessThan">
      <formula>0</formula>
    </cfRule>
  </conditionalFormatting>
  <conditionalFormatting sqref="K10:K11">
    <cfRule type="cellIs" dxfId="29" priority="58" stopIfTrue="1" operator="lessThan">
      <formula>0</formula>
    </cfRule>
  </conditionalFormatting>
  <conditionalFormatting sqref="M10:M11">
    <cfRule type="cellIs" dxfId="28" priority="23" stopIfTrue="1" operator="lessThan">
      <formula>0</formula>
    </cfRule>
  </conditionalFormatting>
  <printOptions horizontalCentered="1"/>
  <pageMargins left="7.874015748031496E-2" right="7.874015748031496E-2" top="0.39370078740157483" bottom="0.19685039370078741" header="0.19685039370078741" footer="0.19685039370078741"/>
  <pageSetup paperSize="9" scale="55" orientation="landscape" r:id="rId1"/>
  <headerFooter alignWithMargins="0"/>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7">
    <pageSetUpPr fitToPage="1"/>
  </sheetPr>
  <dimension ref="A3:I58"/>
  <sheetViews>
    <sheetView showGridLines="0" view="pageBreakPreview" topLeftCell="A4" zoomScaleNormal="100" zoomScaleSheetLayoutView="100" workbookViewId="0">
      <selection activeCell="A4" sqref="A4"/>
    </sheetView>
  </sheetViews>
  <sheetFormatPr defaultColWidth="12.28515625" defaultRowHeight="14.25"/>
  <cols>
    <col min="1" max="1" width="15.85546875" style="27" customWidth="1"/>
    <col min="2" max="2" width="38.42578125" style="27" customWidth="1"/>
    <col min="3" max="5" width="11.42578125" style="27" customWidth="1"/>
    <col min="6" max="6" width="18.7109375" style="27" customWidth="1"/>
    <col min="7" max="7" width="12.28515625" style="27" customWidth="1"/>
    <col min="8" max="8" width="17.140625" style="27" customWidth="1"/>
    <col min="9" max="16384" width="12.28515625" style="27"/>
  </cols>
  <sheetData>
    <row r="3" spans="1:6" ht="15">
      <c r="A3" s="360" t="str">
        <f>ORÇAMENTO!A7</f>
        <v>CRUZEIRO DO SUL/RS</v>
      </c>
      <c r="F3" s="340" t="str">
        <f>ORÇAMENTO!I2</f>
        <v>Cruzeiro do Sul/RS, janeiro de 2022</v>
      </c>
    </row>
    <row r="4" spans="1:6">
      <c r="A4" s="360" t="str">
        <f>ORÇAMENTO!A8</f>
        <v>LINHA SÍTIO</v>
      </c>
    </row>
    <row r="9" spans="1:6" ht="16.5">
      <c r="A9" s="411" t="s">
        <v>51</v>
      </c>
      <c r="B9" s="411"/>
      <c r="C9" s="411"/>
      <c r="D9" s="411"/>
      <c r="E9" s="411"/>
      <c r="F9" s="411"/>
    </row>
    <row r="10" spans="1:6">
      <c r="A10" s="412" t="s">
        <v>409</v>
      </c>
      <c r="B10" s="412"/>
      <c r="C10" s="412"/>
      <c r="D10" s="412"/>
      <c r="E10" s="412"/>
      <c r="F10" s="412"/>
    </row>
    <row r="11" spans="1:6" ht="18.75">
      <c r="A11" s="413" t="s">
        <v>337</v>
      </c>
      <c r="B11" s="413"/>
      <c r="C11" s="413"/>
      <c r="D11" s="413"/>
      <c r="E11" s="413"/>
      <c r="F11" s="413"/>
    </row>
    <row r="12" spans="1:6" ht="15.75">
      <c r="A12" s="155"/>
      <c r="B12" s="156"/>
      <c r="C12" s="156"/>
      <c r="D12" s="156"/>
      <c r="E12" s="156"/>
      <c r="F12" s="156"/>
    </row>
    <row r="13" spans="1:6" ht="15">
      <c r="A13" s="157"/>
      <c r="B13" s="157"/>
      <c r="C13" s="157"/>
      <c r="D13" s="157"/>
      <c r="E13" s="157"/>
      <c r="F13" s="157"/>
    </row>
    <row r="14" spans="1:6" ht="15.75">
      <c r="A14" s="414" t="s">
        <v>52</v>
      </c>
      <c r="B14" s="415" t="s">
        <v>53</v>
      </c>
      <c r="C14" s="416" t="s">
        <v>54</v>
      </c>
      <c r="D14" s="416"/>
      <c r="E14" s="416"/>
      <c r="F14" s="353" t="s">
        <v>55</v>
      </c>
    </row>
    <row r="15" spans="1:6" ht="15.75">
      <c r="A15" s="414"/>
      <c r="B15" s="415"/>
      <c r="C15" s="354" t="s">
        <v>56</v>
      </c>
      <c r="D15" s="355" t="s">
        <v>57</v>
      </c>
      <c r="E15" s="356" t="s">
        <v>58</v>
      </c>
      <c r="F15" s="356" t="s">
        <v>59</v>
      </c>
    </row>
    <row r="16" spans="1:6" ht="18" customHeight="1">
      <c r="A16" s="421" t="s">
        <v>372</v>
      </c>
      <c r="B16" s="158" t="s">
        <v>60</v>
      </c>
      <c r="C16" s="159">
        <v>3.8</v>
      </c>
      <c r="D16" s="160">
        <v>4.01</v>
      </c>
      <c r="E16" s="161">
        <v>4.67</v>
      </c>
      <c r="F16" s="161">
        <f>E16</f>
        <v>4.67</v>
      </c>
    </row>
    <row r="17" spans="1:9" ht="18" customHeight="1">
      <c r="A17" s="422"/>
      <c r="B17" s="158" t="s">
        <v>61</v>
      </c>
      <c r="C17" s="159">
        <v>0.32</v>
      </c>
      <c r="D17" s="160">
        <v>0.4</v>
      </c>
      <c r="E17" s="161">
        <v>0.74</v>
      </c>
      <c r="F17" s="161">
        <f>E17</f>
        <v>0.74</v>
      </c>
    </row>
    <row r="18" spans="1:9" ht="18" customHeight="1">
      <c r="A18" s="422"/>
      <c r="B18" s="158" t="s">
        <v>62</v>
      </c>
      <c r="C18" s="159">
        <v>0.5</v>
      </c>
      <c r="D18" s="160">
        <v>0.56000000000000005</v>
      </c>
      <c r="E18" s="161">
        <v>0.97</v>
      </c>
      <c r="F18" s="161">
        <f>E18</f>
        <v>0.97</v>
      </c>
    </row>
    <row r="19" spans="1:9" ht="18" customHeight="1">
      <c r="A19" s="422"/>
      <c r="B19" s="158" t="s">
        <v>63</v>
      </c>
      <c r="C19" s="159">
        <v>1.02</v>
      </c>
      <c r="D19" s="160">
        <v>1.1100000000000001</v>
      </c>
      <c r="E19" s="161">
        <v>1.21</v>
      </c>
      <c r="F19" s="161">
        <f>E19</f>
        <v>1.21</v>
      </c>
    </row>
    <row r="20" spans="1:9" ht="18" customHeight="1">
      <c r="A20" s="422"/>
      <c r="B20" s="162" t="s">
        <v>64</v>
      </c>
      <c r="C20" s="163">
        <v>6.64</v>
      </c>
      <c r="D20" s="164">
        <v>7.3</v>
      </c>
      <c r="E20" s="165">
        <v>8.69</v>
      </c>
      <c r="F20" s="165">
        <v>8.2899999999999991</v>
      </c>
    </row>
    <row r="21" spans="1:9" ht="18" customHeight="1">
      <c r="A21" s="423"/>
      <c r="B21" s="166" t="s">
        <v>65</v>
      </c>
      <c r="C21" s="417" t="s">
        <v>66</v>
      </c>
      <c r="D21" s="417"/>
      <c r="E21" s="417"/>
      <c r="F21" s="167">
        <v>6.15</v>
      </c>
    </row>
    <row r="22" spans="1:9" ht="18" customHeight="1">
      <c r="A22" s="168"/>
      <c r="B22" s="168"/>
      <c r="C22" s="169"/>
      <c r="D22" s="169"/>
      <c r="E22" s="169"/>
      <c r="F22" s="226">
        <v>24.23</v>
      </c>
      <c r="G22" s="65"/>
      <c r="H22" s="27" t="s">
        <v>141</v>
      </c>
      <c r="I22" s="58">
        <v>0</v>
      </c>
    </row>
    <row r="23" spans="1:9" ht="18" customHeight="1">
      <c r="A23" s="157"/>
      <c r="B23" s="157"/>
      <c r="C23" s="157"/>
      <c r="D23" s="157"/>
      <c r="E23" s="157"/>
      <c r="F23" s="357" t="s">
        <v>67</v>
      </c>
      <c r="H23" s="25"/>
    </row>
    <row r="24" spans="1:9" ht="15.75">
      <c r="A24" s="157"/>
      <c r="B24" s="157"/>
      <c r="C24" s="157"/>
      <c r="D24" s="157"/>
      <c r="E24" s="157"/>
      <c r="F24" s="170"/>
    </row>
    <row r="25" spans="1:9" ht="15.75">
      <c r="A25" s="157"/>
      <c r="B25" s="157"/>
      <c r="C25" s="157"/>
      <c r="D25" s="157"/>
      <c r="E25" s="157"/>
      <c r="F25" s="170"/>
      <c r="H25" s="26" t="s">
        <v>142</v>
      </c>
      <c r="I25" s="27">
        <v>14.14</v>
      </c>
    </row>
    <row r="26" spans="1:9" ht="18.75">
      <c r="A26" s="418" t="s">
        <v>68</v>
      </c>
      <c r="B26" s="418"/>
      <c r="C26" s="418"/>
      <c r="D26" s="418"/>
      <c r="E26" s="418"/>
      <c r="F26" s="418"/>
      <c r="H26" s="28" t="s">
        <v>69</v>
      </c>
      <c r="I26" s="27">
        <v>1.0105517557722501</v>
      </c>
    </row>
    <row r="27" spans="1:9" s="59" customFormat="1" ht="15.75">
      <c r="A27" s="171"/>
      <c r="B27" s="171"/>
      <c r="C27" s="171"/>
      <c r="D27" s="171"/>
      <c r="E27" s="171"/>
      <c r="F27" s="171"/>
    </row>
    <row r="28" spans="1:9" ht="15.75">
      <c r="A28" s="419" t="s">
        <v>70</v>
      </c>
      <c r="B28" s="419"/>
      <c r="C28" s="419"/>
      <c r="D28" s="419"/>
      <c r="E28" s="419"/>
      <c r="F28" s="419"/>
    </row>
    <row r="29" spans="1:9" s="59" customFormat="1" ht="15.75">
      <c r="A29" s="171"/>
      <c r="B29" s="171"/>
      <c r="C29" s="171"/>
      <c r="D29" s="171"/>
      <c r="E29" s="171"/>
      <c r="F29" s="171"/>
    </row>
    <row r="30" spans="1:9" ht="15.75">
      <c r="A30" s="172" t="s">
        <v>71</v>
      </c>
      <c r="B30" s="171"/>
      <c r="C30" s="156"/>
      <c r="D30" s="156"/>
      <c r="E30" s="156"/>
      <c r="F30" s="156"/>
    </row>
    <row r="31" spans="1:9" ht="15.75">
      <c r="A31" s="171" t="s">
        <v>72</v>
      </c>
      <c r="B31" s="171"/>
      <c r="C31" s="156"/>
      <c r="D31" s="156"/>
      <c r="E31" s="156"/>
      <c r="F31" s="156"/>
    </row>
    <row r="32" spans="1:9" ht="15.75">
      <c r="A32" s="171" t="s">
        <v>303</v>
      </c>
      <c r="B32" s="171"/>
      <c r="C32" s="156"/>
      <c r="D32" s="156"/>
      <c r="E32" s="156"/>
      <c r="F32" s="156"/>
    </row>
    <row r="33" spans="1:6" ht="15.75">
      <c r="A33" s="171" t="s">
        <v>73</v>
      </c>
      <c r="B33" s="171"/>
      <c r="C33" s="156"/>
      <c r="D33" s="156"/>
      <c r="E33" s="156"/>
      <c r="F33" s="156"/>
    </row>
    <row r="34" spans="1:6" ht="15.75">
      <c r="A34" s="171" t="s">
        <v>143</v>
      </c>
      <c r="B34" s="171"/>
      <c r="C34" s="156"/>
      <c r="D34" s="156"/>
      <c r="E34" s="156"/>
      <c r="F34" s="156"/>
    </row>
    <row r="35" spans="1:6" ht="15.75">
      <c r="A35" s="358" t="s">
        <v>304</v>
      </c>
      <c r="B35" s="358"/>
      <c r="C35" s="156"/>
      <c r="D35" s="156"/>
      <c r="E35" s="156"/>
      <c r="F35" s="156"/>
    </row>
    <row r="36" spans="1:6" ht="15.75">
      <c r="A36" s="172"/>
      <c r="B36" s="172"/>
      <c r="C36" s="156"/>
      <c r="D36" s="156"/>
      <c r="E36" s="156"/>
      <c r="F36" s="156"/>
    </row>
    <row r="37" spans="1:6" s="59" customFormat="1" ht="15.75">
      <c r="A37" s="60"/>
      <c r="B37" s="60"/>
      <c r="C37" s="29"/>
      <c r="D37" s="29"/>
      <c r="E37" s="29"/>
      <c r="F37" s="29"/>
    </row>
    <row r="38" spans="1:6" s="59" customFormat="1" ht="15.75">
      <c r="A38" s="197"/>
      <c r="B38" s="197"/>
      <c r="C38" s="197"/>
      <c r="D38" s="197"/>
      <c r="E38" s="197"/>
      <c r="F38" s="197"/>
    </row>
    <row r="39" spans="1:6" s="59" customFormat="1" ht="15.75">
      <c r="A39" s="57"/>
      <c r="C39" s="57"/>
      <c r="D39" s="57"/>
      <c r="F39" s="29"/>
    </row>
    <row r="40" spans="1:6" s="59" customFormat="1" ht="15.75">
      <c r="B40" s="338" t="str">
        <f>ORÇAMENTO!B130</f>
        <v>Eng. Civil Lorenzo Schnorr Fornari</v>
      </c>
      <c r="C40" s="168"/>
      <c r="D40" s="337"/>
      <c r="E40" s="338" t="str">
        <f>ORÇAMENTO!F130</f>
        <v>Prefeitura Municipal</v>
      </c>
      <c r="F40" s="168"/>
    </row>
    <row r="41" spans="1:6" s="59" customFormat="1" ht="15.75">
      <c r="B41" s="338" t="str">
        <f>ORÇAMENTO!B131</f>
        <v>CREA RS247702</v>
      </c>
      <c r="C41" s="168"/>
      <c r="D41" s="337"/>
      <c r="E41" s="338" t="str">
        <f>ORÇAMENTO!F131</f>
        <v>de Cruzeiro do Sul/RS</v>
      </c>
      <c r="F41" s="168"/>
    </row>
    <row r="42" spans="1:6" s="59" customFormat="1" ht="15.75">
      <c r="B42" s="199"/>
      <c r="C42" s="198"/>
      <c r="D42" s="198"/>
      <c r="E42" s="199"/>
      <c r="F42" s="198"/>
    </row>
    <row r="43" spans="1:6" s="59" customFormat="1" ht="15.75">
      <c r="A43" s="60"/>
      <c r="B43" s="199"/>
      <c r="C43" s="29"/>
      <c r="D43" s="29"/>
      <c r="E43" s="199"/>
      <c r="F43" s="29"/>
    </row>
    <row r="44" spans="1:6" s="59" customFormat="1" ht="15.75">
      <c r="B44" s="199"/>
      <c r="E44" s="199"/>
    </row>
    <row r="45" spans="1:6" s="61" customFormat="1" ht="15.75">
      <c r="B45" s="199"/>
      <c r="C45" s="420"/>
      <c r="D45" s="420"/>
      <c r="E45" s="420"/>
      <c r="F45" s="420"/>
    </row>
    <row r="46" spans="1:6" s="59" customFormat="1" ht="15"/>
    <row r="47" spans="1:6" s="59" customFormat="1" ht="15"/>
    <row r="48" spans="1:6" s="59" customFormat="1" ht="15"/>
    <row r="49" spans="1:6" s="59" customFormat="1" ht="15"/>
    <row r="50" spans="1:6" ht="16.5">
      <c r="A50" s="410"/>
      <c r="B50" s="410"/>
      <c r="C50" s="410"/>
      <c r="D50" s="410"/>
      <c r="E50" s="410"/>
      <c r="F50" s="410"/>
    </row>
    <row r="51" spans="1:6" ht="15">
      <c r="A51" s="409"/>
      <c r="B51" s="409"/>
      <c r="C51" s="409"/>
      <c r="D51" s="409"/>
      <c r="E51" s="409"/>
      <c r="F51" s="409"/>
    </row>
    <row r="52" spans="1:6" s="59" customFormat="1" ht="15">
      <c r="A52" s="29"/>
      <c r="B52" s="62"/>
      <c r="C52" s="29"/>
      <c r="D52" s="29"/>
      <c r="E52" s="29"/>
      <c r="F52" s="29"/>
    </row>
    <row r="53" spans="1:6" s="59" customFormat="1" ht="15">
      <c r="A53" s="29"/>
      <c r="B53" s="62"/>
      <c r="C53" s="29"/>
      <c r="D53" s="29"/>
      <c r="E53" s="29"/>
      <c r="F53" s="29"/>
    </row>
    <row r="54" spans="1:6" s="59" customFormat="1" ht="15">
      <c r="A54" s="29"/>
      <c r="B54" s="62"/>
      <c r="C54" s="29"/>
      <c r="D54" s="29"/>
      <c r="E54" s="29"/>
      <c r="F54" s="29"/>
    </row>
    <row r="55" spans="1:6" s="59" customFormat="1" ht="15">
      <c r="A55" s="29"/>
      <c r="B55" s="29"/>
      <c r="C55" s="29"/>
      <c r="D55" s="29"/>
      <c r="E55" s="29"/>
      <c r="F55" s="29"/>
    </row>
    <row r="56" spans="1:6" ht="16.5">
      <c r="A56" s="410"/>
      <c r="B56" s="410"/>
      <c r="C56" s="410"/>
      <c r="D56" s="410"/>
      <c r="E56" s="410"/>
      <c r="F56" s="410"/>
    </row>
    <row r="57" spans="1:6" ht="15">
      <c r="A57" s="409"/>
      <c r="B57" s="409"/>
      <c r="C57" s="409"/>
      <c r="D57" s="409"/>
      <c r="E57" s="409"/>
      <c r="F57" s="409"/>
    </row>
    <row r="58" spans="1:6" ht="15">
      <c r="A58" s="59"/>
      <c r="B58" s="59"/>
      <c r="C58" s="59"/>
      <c r="D58" s="59"/>
    </row>
  </sheetData>
  <mergeCells count="15">
    <mergeCell ref="A51:F51"/>
    <mergeCell ref="A56:F56"/>
    <mergeCell ref="A57:F57"/>
    <mergeCell ref="A9:F9"/>
    <mergeCell ref="A10:F10"/>
    <mergeCell ref="A11:F11"/>
    <mergeCell ref="A14:A15"/>
    <mergeCell ref="B14:B15"/>
    <mergeCell ref="C14:E14"/>
    <mergeCell ref="C21:E21"/>
    <mergeCell ref="A26:F26"/>
    <mergeCell ref="A28:F28"/>
    <mergeCell ref="C45:F45"/>
    <mergeCell ref="A50:F50"/>
    <mergeCell ref="A16:A21"/>
  </mergeCells>
  <printOptions horizontalCentered="1"/>
  <pageMargins left="0.78740157480314965" right="0.39370078740157483" top="0.98425196850393704" bottom="0.39370078740157483" header="0.78740157480314965" footer="0.19685039370078741"/>
  <pageSetup paperSize="9" scale="86" pageOrder="overThenDown"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M53"/>
  <sheetViews>
    <sheetView showGridLines="0" view="pageBreakPreview" topLeftCell="A31" zoomScale="70" zoomScaleNormal="100" zoomScaleSheetLayoutView="70" workbookViewId="0">
      <selection activeCell="D5" sqref="D5"/>
    </sheetView>
  </sheetViews>
  <sheetFormatPr defaultRowHeight="15"/>
  <cols>
    <col min="1" max="1" width="1.28515625" style="284" customWidth="1"/>
    <col min="2" max="2" width="11.5703125" style="284" customWidth="1"/>
    <col min="3" max="3" width="97.85546875" style="284" customWidth="1"/>
    <col min="4" max="5" width="19.7109375" style="284" customWidth="1"/>
    <col min="6" max="6" width="1.28515625" style="284" customWidth="1"/>
    <col min="7" max="9" width="9.140625" style="284"/>
    <col min="10" max="13" width="14.42578125" style="284" customWidth="1"/>
    <col min="14" max="20" width="9.140625" style="284"/>
    <col min="21" max="21" width="4.28515625" style="284" customWidth="1"/>
    <col min="22" max="16384" width="9.140625" style="284"/>
  </cols>
  <sheetData>
    <row r="1" spans="2:13" ht="21" customHeight="1">
      <c r="B1" s="283"/>
    </row>
    <row r="2" spans="2:13" ht="21" customHeight="1">
      <c r="B2" s="361" t="str">
        <f>ORÇAMENTO!A7</f>
        <v>CRUZEIRO DO SUL/RS</v>
      </c>
      <c r="E2" s="363" t="str">
        <f>ORÇAMENTO!I2</f>
        <v>Cruzeiro do Sul/RS, janeiro de 2022</v>
      </c>
    </row>
    <row r="3" spans="2:13" ht="21" customHeight="1">
      <c r="B3" s="362" t="str">
        <f>ORÇAMENTO!A8</f>
        <v>LINHA SÍTIO</v>
      </c>
    </row>
    <row r="4" spans="2:13" ht="21" customHeight="1">
      <c r="E4" s="286"/>
    </row>
    <row r="5" spans="2:13" ht="21" customHeight="1">
      <c r="B5" s="285"/>
    </row>
    <row r="6" spans="2:13" ht="21" customHeight="1">
      <c r="B6" s="287" t="s">
        <v>232</v>
      </c>
      <c r="C6" s="288"/>
      <c r="D6" s="288"/>
      <c r="E6" s="289"/>
    </row>
    <row r="7" spans="2:13" ht="21" customHeight="1">
      <c r="E7" s="286"/>
    </row>
    <row r="8" spans="2:13" ht="21" customHeight="1">
      <c r="E8" s="286"/>
    </row>
    <row r="9" spans="2:13" ht="21" customHeight="1">
      <c r="B9" s="425" t="s">
        <v>233</v>
      </c>
      <c r="C9" s="425"/>
      <c r="D9" s="425"/>
      <c r="E9" s="425"/>
    </row>
    <row r="10" spans="2:13" s="290" customFormat="1" ht="21" customHeight="1">
      <c r="B10" s="426" t="s">
        <v>103</v>
      </c>
      <c r="C10" s="426" t="s">
        <v>96</v>
      </c>
      <c r="D10" s="427" t="s">
        <v>234</v>
      </c>
      <c r="E10" s="427"/>
      <c r="J10" s="424" t="s">
        <v>235</v>
      </c>
      <c r="K10" s="424"/>
      <c r="L10" s="424" t="s">
        <v>234</v>
      </c>
      <c r="M10" s="424"/>
    </row>
    <row r="11" spans="2:13" s="290" customFormat="1" ht="21" customHeight="1">
      <c r="B11" s="426"/>
      <c r="C11" s="426"/>
      <c r="D11" s="291" t="s">
        <v>236</v>
      </c>
      <c r="E11" s="291" t="s">
        <v>237</v>
      </c>
      <c r="J11" s="290" t="s">
        <v>236</v>
      </c>
      <c r="K11" s="290" t="s">
        <v>237</v>
      </c>
      <c r="L11" s="290" t="s">
        <v>236</v>
      </c>
      <c r="M11" s="290" t="s">
        <v>237</v>
      </c>
    </row>
    <row r="12" spans="2:13" s="290" customFormat="1" ht="21" customHeight="1">
      <c r="B12" s="426"/>
      <c r="C12" s="426"/>
      <c r="D12" s="291" t="s">
        <v>37</v>
      </c>
      <c r="E12" s="291" t="s">
        <v>37</v>
      </c>
      <c r="J12" s="290" t="s">
        <v>37</v>
      </c>
      <c r="K12" s="290" t="s">
        <v>37</v>
      </c>
      <c r="L12" s="290" t="s">
        <v>37</v>
      </c>
      <c r="M12" s="290" t="s">
        <v>37</v>
      </c>
    </row>
    <row r="13" spans="2:13" ht="21" customHeight="1">
      <c r="B13" s="429" t="s">
        <v>238</v>
      </c>
      <c r="C13" s="429"/>
      <c r="D13" s="429"/>
      <c r="E13" s="429"/>
      <c r="J13" s="292"/>
      <c r="K13" s="292"/>
      <c r="L13" s="292"/>
      <c r="M13" s="292"/>
    </row>
    <row r="14" spans="2:13" ht="21" customHeight="1">
      <c r="B14" s="293" t="s">
        <v>239</v>
      </c>
      <c r="C14" s="294" t="s">
        <v>240</v>
      </c>
      <c r="D14" s="295">
        <f>IF($D$10="COM DESONERAÇÃO",J14,L14)</f>
        <v>0.2</v>
      </c>
      <c r="E14" s="295">
        <f>IF($D$10="COM DESONERAÇÃO",K14,M14)</f>
        <v>0.2</v>
      </c>
      <c r="J14" s="292">
        <v>0</v>
      </c>
      <c r="K14" s="292">
        <v>0</v>
      </c>
      <c r="L14" s="292">
        <v>0.2</v>
      </c>
      <c r="M14" s="292">
        <v>0.2</v>
      </c>
    </row>
    <row r="15" spans="2:13" ht="21" customHeight="1">
      <c r="B15" s="296" t="s">
        <v>241</v>
      </c>
      <c r="C15" s="297" t="s">
        <v>242</v>
      </c>
      <c r="D15" s="298">
        <f t="shared" ref="D15:E23" si="0">IF($D$10="COM DESONERAÇÃO",J15,L15)</f>
        <v>1.4999999999999999E-2</v>
      </c>
      <c r="E15" s="298">
        <f t="shared" si="0"/>
        <v>1.4999999999999999E-2</v>
      </c>
      <c r="J15" s="292">
        <v>1.4999999999999999E-2</v>
      </c>
      <c r="K15" s="292">
        <v>1.4999999999999999E-2</v>
      </c>
      <c r="L15" s="292">
        <v>1.4999999999999999E-2</v>
      </c>
      <c r="M15" s="292">
        <v>1.4999999999999999E-2</v>
      </c>
    </row>
    <row r="16" spans="2:13" ht="21" customHeight="1">
      <c r="B16" s="293" t="s">
        <v>243</v>
      </c>
      <c r="C16" s="294" t="s">
        <v>244</v>
      </c>
      <c r="D16" s="295">
        <f t="shared" si="0"/>
        <v>0.01</v>
      </c>
      <c r="E16" s="295">
        <f t="shared" si="0"/>
        <v>0.01</v>
      </c>
      <c r="J16" s="292">
        <v>0.01</v>
      </c>
      <c r="K16" s="292">
        <v>0.01</v>
      </c>
      <c r="L16" s="292">
        <v>0.01</v>
      </c>
      <c r="M16" s="292">
        <v>0.01</v>
      </c>
    </row>
    <row r="17" spans="2:13" ht="21" customHeight="1">
      <c r="B17" s="296" t="s">
        <v>245</v>
      </c>
      <c r="C17" s="297" t="s">
        <v>246</v>
      </c>
      <c r="D17" s="298">
        <f t="shared" si="0"/>
        <v>2E-3</v>
      </c>
      <c r="E17" s="298">
        <f t="shared" si="0"/>
        <v>2E-3</v>
      </c>
      <c r="J17" s="292">
        <v>2E-3</v>
      </c>
      <c r="K17" s="292">
        <v>2E-3</v>
      </c>
      <c r="L17" s="292">
        <v>2E-3</v>
      </c>
      <c r="M17" s="292">
        <v>2E-3</v>
      </c>
    </row>
    <row r="18" spans="2:13" ht="21" customHeight="1">
      <c r="B18" s="293" t="s">
        <v>247</v>
      </c>
      <c r="C18" s="294" t="s">
        <v>248</v>
      </c>
      <c r="D18" s="295">
        <f t="shared" si="0"/>
        <v>6.0000000000000001E-3</v>
      </c>
      <c r="E18" s="295">
        <f t="shared" si="0"/>
        <v>6.0000000000000001E-3</v>
      </c>
      <c r="J18" s="292">
        <v>6.0000000000000001E-3</v>
      </c>
      <c r="K18" s="292">
        <v>6.0000000000000001E-3</v>
      </c>
      <c r="L18" s="292">
        <v>6.0000000000000001E-3</v>
      </c>
      <c r="M18" s="292">
        <v>6.0000000000000001E-3</v>
      </c>
    </row>
    <row r="19" spans="2:13" ht="21" customHeight="1">
      <c r="B19" s="296" t="s">
        <v>249</v>
      </c>
      <c r="C19" s="297" t="s">
        <v>250</v>
      </c>
      <c r="D19" s="298">
        <f t="shared" si="0"/>
        <v>2.5000000000000001E-2</v>
      </c>
      <c r="E19" s="298">
        <f t="shared" si="0"/>
        <v>2.5000000000000001E-2</v>
      </c>
      <c r="J19" s="292">
        <v>2.5000000000000001E-2</v>
      </c>
      <c r="K19" s="292">
        <v>2.5000000000000001E-2</v>
      </c>
      <c r="L19" s="292">
        <v>2.5000000000000001E-2</v>
      </c>
      <c r="M19" s="292">
        <v>2.5000000000000001E-2</v>
      </c>
    </row>
    <row r="20" spans="2:13" ht="21" customHeight="1">
      <c r="B20" s="293" t="s">
        <v>251</v>
      </c>
      <c r="C20" s="294" t="s">
        <v>252</v>
      </c>
      <c r="D20" s="295">
        <f t="shared" si="0"/>
        <v>0.03</v>
      </c>
      <c r="E20" s="295">
        <f t="shared" si="0"/>
        <v>0.03</v>
      </c>
      <c r="J20" s="292">
        <v>0.03</v>
      </c>
      <c r="K20" s="292">
        <v>0.03</v>
      </c>
      <c r="L20" s="292">
        <v>0.03</v>
      </c>
      <c r="M20" s="292">
        <v>0.03</v>
      </c>
    </row>
    <row r="21" spans="2:13" ht="21" customHeight="1">
      <c r="B21" s="296" t="s">
        <v>253</v>
      </c>
      <c r="C21" s="297" t="s">
        <v>254</v>
      </c>
      <c r="D21" s="298">
        <f t="shared" si="0"/>
        <v>0.08</v>
      </c>
      <c r="E21" s="298">
        <f t="shared" si="0"/>
        <v>0.08</v>
      </c>
      <c r="J21" s="292">
        <v>0.08</v>
      </c>
      <c r="K21" s="292">
        <v>0.08</v>
      </c>
      <c r="L21" s="292">
        <v>0.08</v>
      </c>
      <c r="M21" s="292">
        <v>0.08</v>
      </c>
    </row>
    <row r="22" spans="2:13" ht="21" customHeight="1">
      <c r="B22" s="293" t="s">
        <v>255</v>
      </c>
      <c r="C22" s="294" t="s">
        <v>256</v>
      </c>
      <c r="D22" s="295">
        <f t="shared" si="0"/>
        <v>0</v>
      </c>
      <c r="E22" s="295">
        <f t="shared" si="0"/>
        <v>0</v>
      </c>
      <c r="J22" s="292">
        <v>0</v>
      </c>
      <c r="K22" s="292">
        <v>0</v>
      </c>
      <c r="L22" s="292">
        <v>0</v>
      </c>
      <c r="M22" s="292">
        <v>0</v>
      </c>
    </row>
    <row r="23" spans="2:13" s="285" customFormat="1" ht="21" customHeight="1">
      <c r="B23" s="299" t="s">
        <v>257</v>
      </c>
      <c r="C23" s="299" t="s">
        <v>258</v>
      </c>
      <c r="D23" s="300">
        <f t="shared" si="0"/>
        <v>0.36800000000000005</v>
      </c>
      <c r="E23" s="300">
        <f t="shared" si="0"/>
        <v>0.36800000000000005</v>
      </c>
      <c r="J23" s="301">
        <f>SUM(J14:J22)</f>
        <v>0.16799999999999998</v>
      </c>
      <c r="K23" s="301">
        <f>SUM(K14:K22)</f>
        <v>0.16799999999999998</v>
      </c>
      <c r="L23" s="301">
        <f>SUM(L14:L22)</f>
        <v>0.36800000000000005</v>
      </c>
      <c r="M23" s="301">
        <f>SUM(M14:M22)</f>
        <v>0.36800000000000005</v>
      </c>
    </row>
    <row r="24" spans="2:13" ht="21" customHeight="1">
      <c r="B24" s="429" t="s">
        <v>259</v>
      </c>
      <c r="C24" s="429"/>
      <c r="D24" s="429"/>
      <c r="E24" s="429"/>
    </row>
    <row r="25" spans="2:13" ht="21" customHeight="1">
      <c r="B25" s="293" t="s">
        <v>260</v>
      </c>
      <c r="C25" s="294" t="s">
        <v>261</v>
      </c>
      <c r="D25" s="295">
        <f>IF($D$10="COM DESONERAÇÃO",J25,L25)</f>
        <v>0.17929999999999999</v>
      </c>
      <c r="E25" s="295" t="str">
        <f>IF($D$10="COM DESONERAÇÃO",K25,M25)</f>
        <v>Não incide</v>
      </c>
      <c r="J25" s="292">
        <v>0.17929999999999999</v>
      </c>
      <c r="K25" s="292" t="s">
        <v>262</v>
      </c>
      <c r="L25" s="292">
        <v>0.17929999999999999</v>
      </c>
      <c r="M25" s="292" t="s">
        <v>262</v>
      </c>
    </row>
    <row r="26" spans="2:13" ht="21" customHeight="1">
      <c r="B26" s="296" t="s">
        <v>263</v>
      </c>
      <c r="C26" s="297" t="s">
        <v>264</v>
      </c>
      <c r="D26" s="298">
        <f t="shared" ref="D26:E35" si="1">IF($D$10="COM DESONERAÇÃO",J26,L26)</f>
        <v>4.24E-2</v>
      </c>
      <c r="E26" s="298" t="str">
        <f t="shared" si="1"/>
        <v>Não incide</v>
      </c>
      <c r="J26" s="292">
        <v>4.24E-2</v>
      </c>
      <c r="K26" s="292" t="s">
        <v>262</v>
      </c>
      <c r="L26" s="292">
        <v>4.24E-2</v>
      </c>
      <c r="M26" s="292" t="s">
        <v>262</v>
      </c>
    </row>
    <row r="27" spans="2:13" ht="21" customHeight="1">
      <c r="B27" s="293" t="s">
        <v>265</v>
      </c>
      <c r="C27" s="294" t="s">
        <v>266</v>
      </c>
      <c r="D27" s="295">
        <f t="shared" si="1"/>
        <v>8.8999999999999999E-3</v>
      </c>
      <c r="E27" s="295">
        <f t="shared" si="1"/>
        <v>6.8999999999999999E-3</v>
      </c>
      <c r="J27" s="292">
        <v>8.8999999999999999E-3</v>
      </c>
      <c r="K27" s="292">
        <v>6.8999999999999999E-3</v>
      </c>
      <c r="L27" s="292">
        <v>8.8999999999999999E-3</v>
      </c>
      <c r="M27" s="292">
        <v>6.8999999999999999E-3</v>
      </c>
    </row>
    <row r="28" spans="2:13" ht="21" customHeight="1">
      <c r="B28" s="296" t="s">
        <v>267</v>
      </c>
      <c r="C28" s="297" t="s">
        <v>268</v>
      </c>
      <c r="D28" s="298">
        <f t="shared" si="1"/>
        <v>0.1077</v>
      </c>
      <c r="E28" s="298">
        <f t="shared" si="1"/>
        <v>8.3299999999999999E-2</v>
      </c>
      <c r="J28" s="292">
        <v>0.1077</v>
      </c>
      <c r="K28" s="292">
        <v>8.3299999999999999E-2</v>
      </c>
      <c r="L28" s="292">
        <v>0.1077</v>
      </c>
      <c r="M28" s="292">
        <v>8.3299999999999999E-2</v>
      </c>
    </row>
    <row r="29" spans="2:13" ht="21" customHeight="1">
      <c r="B29" s="293" t="s">
        <v>269</v>
      </c>
      <c r="C29" s="294" t="s">
        <v>270</v>
      </c>
      <c r="D29" s="295">
        <f t="shared" si="1"/>
        <v>6.9999999999999999E-4</v>
      </c>
      <c r="E29" s="295">
        <f t="shared" si="1"/>
        <v>5.9999999999999995E-4</v>
      </c>
      <c r="J29" s="292">
        <v>6.9999999999999999E-4</v>
      </c>
      <c r="K29" s="292">
        <v>5.9999999999999995E-4</v>
      </c>
      <c r="L29" s="292">
        <v>6.9999999999999999E-4</v>
      </c>
      <c r="M29" s="292">
        <v>5.9999999999999995E-4</v>
      </c>
    </row>
    <row r="30" spans="2:13" ht="21" customHeight="1">
      <c r="B30" s="296" t="s">
        <v>271</v>
      </c>
      <c r="C30" s="297" t="s">
        <v>272</v>
      </c>
      <c r="D30" s="298">
        <f t="shared" si="1"/>
        <v>7.1999999999999998E-3</v>
      </c>
      <c r="E30" s="298">
        <f t="shared" si="1"/>
        <v>5.5999999999999999E-3</v>
      </c>
      <c r="J30" s="292">
        <v>7.1999999999999998E-3</v>
      </c>
      <c r="K30" s="292">
        <v>5.5999999999999999E-3</v>
      </c>
      <c r="L30" s="292">
        <v>7.1999999999999998E-3</v>
      </c>
      <c r="M30" s="292">
        <v>5.5999999999999999E-3</v>
      </c>
    </row>
    <row r="31" spans="2:13" ht="21" customHeight="1">
      <c r="B31" s="293" t="s">
        <v>273</v>
      </c>
      <c r="C31" s="294" t="s">
        <v>274</v>
      </c>
      <c r="D31" s="295">
        <f t="shared" si="1"/>
        <v>1.5299999999999999E-2</v>
      </c>
      <c r="E31" s="295" t="str">
        <f t="shared" si="1"/>
        <v>Não incide</v>
      </c>
      <c r="J31" s="292">
        <v>1.5299999999999999E-2</v>
      </c>
      <c r="K31" s="292" t="s">
        <v>262</v>
      </c>
      <c r="L31" s="292">
        <v>1.5299999999999999E-2</v>
      </c>
      <c r="M31" s="292" t="s">
        <v>262</v>
      </c>
    </row>
    <row r="32" spans="2:13" ht="21" customHeight="1">
      <c r="B32" s="296" t="s">
        <v>275</v>
      </c>
      <c r="C32" s="297" t="s">
        <v>276</v>
      </c>
      <c r="D32" s="298">
        <f t="shared" si="1"/>
        <v>1.1000000000000001E-3</v>
      </c>
      <c r="E32" s="298">
        <f t="shared" si="1"/>
        <v>8.9999999999999998E-4</v>
      </c>
      <c r="J32" s="292">
        <v>1.1000000000000001E-3</v>
      </c>
      <c r="K32" s="292">
        <v>8.9999999999999998E-4</v>
      </c>
      <c r="L32" s="292">
        <v>1.1000000000000001E-3</v>
      </c>
      <c r="M32" s="292">
        <v>8.9999999999999998E-4</v>
      </c>
    </row>
    <row r="33" spans="2:13" ht="21" customHeight="1">
      <c r="B33" s="293" t="s">
        <v>277</v>
      </c>
      <c r="C33" s="294" t="s">
        <v>278</v>
      </c>
      <c r="D33" s="295">
        <f t="shared" si="1"/>
        <v>7.3999999999999996E-2</v>
      </c>
      <c r="E33" s="295">
        <f t="shared" si="1"/>
        <v>5.7200000000000001E-2</v>
      </c>
      <c r="J33" s="292">
        <v>7.3999999999999996E-2</v>
      </c>
      <c r="K33" s="292">
        <v>5.7200000000000001E-2</v>
      </c>
      <c r="L33" s="292">
        <v>7.3999999999999996E-2</v>
      </c>
      <c r="M33" s="292">
        <v>5.7200000000000001E-2</v>
      </c>
    </row>
    <row r="34" spans="2:13" ht="21" customHeight="1">
      <c r="B34" s="296" t="s">
        <v>279</v>
      </c>
      <c r="C34" s="297" t="s">
        <v>280</v>
      </c>
      <c r="D34" s="298">
        <f t="shared" si="1"/>
        <v>2.9999999999999997E-4</v>
      </c>
      <c r="E34" s="298">
        <f t="shared" si="1"/>
        <v>2.9999999999999997E-4</v>
      </c>
      <c r="J34" s="292">
        <v>2.9999999999999997E-4</v>
      </c>
      <c r="K34" s="292">
        <v>2.9999999999999997E-4</v>
      </c>
      <c r="L34" s="292">
        <v>2.9999999999999997E-4</v>
      </c>
      <c r="M34" s="292">
        <v>2.9999999999999997E-4</v>
      </c>
    </row>
    <row r="35" spans="2:13" ht="21" customHeight="1">
      <c r="B35" s="291" t="s">
        <v>281</v>
      </c>
      <c r="C35" s="291" t="s">
        <v>258</v>
      </c>
      <c r="D35" s="302">
        <f t="shared" si="1"/>
        <v>0.43689999999999996</v>
      </c>
      <c r="E35" s="302">
        <f t="shared" si="1"/>
        <v>0.15479999999999999</v>
      </c>
      <c r="J35" s="301">
        <f>SUM(J25:J34)</f>
        <v>0.43689999999999996</v>
      </c>
      <c r="K35" s="301">
        <f t="shared" ref="K35:M35" si="2">SUM(K25:K34)</f>
        <v>0.15479999999999999</v>
      </c>
      <c r="L35" s="301">
        <f>SUM(L25:L34)</f>
        <v>0.43689999999999996</v>
      </c>
      <c r="M35" s="301">
        <f t="shared" si="2"/>
        <v>0.15479999999999999</v>
      </c>
    </row>
    <row r="36" spans="2:13" ht="21" customHeight="1">
      <c r="B36" s="429" t="s">
        <v>282</v>
      </c>
      <c r="C36" s="429"/>
      <c r="D36" s="429"/>
      <c r="E36" s="429"/>
    </row>
    <row r="37" spans="2:13" ht="21" customHeight="1">
      <c r="B37" s="293" t="s">
        <v>283</v>
      </c>
      <c r="C37" s="294" t="s">
        <v>284</v>
      </c>
      <c r="D37" s="295">
        <f>IF($D$10="COM DESONERAÇÃO",J37,L37)</f>
        <v>4.2799999999999998E-2</v>
      </c>
      <c r="E37" s="295">
        <f>IF($D$10="COM DESONERAÇÃO",K37,M37)</f>
        <v>3.32E-2</v>
      </c>
      <c r="J37" s="292">
        <v>4.2799999999999998E-2</v>
      </c>
      <c r="K37" s="292">
        <v>3.32E-2</v>
      </c>
      <c r="L37" s="292">
        <v>4.2799999999999998E-2</v>
      </c>
      <c r="M37" s="292">
        <v>3.32E-2</v>
      </c>
    </row>
    <row r="38" spans="2:13" ht="21" customHeight="1">
      <c r="B38" s="296" t="s">
        <v>285</v>
      </c>
      <c r="C38" s="297" t="s">
        <v>286</v>
      </c>
      <c r="D38" s="298">
        <f t="shared" ref="D38:E42" si="3">IF($D$10="COM DESONERAÇÃO",J38,L38)</f>
        <v>1E-3</v>
      </c>
      <c r="E38" s="298">
        <f t="shared" si="3"/>
        <v>8.0000000000000004E-4</v>
      </c>
      <c r="J38" s="292">
        <v>1E-3</v>
      </c>
      <c r="K38" s="292">
        <v>8.0000000000000004E-4</v>
      </c>
      <c r="L38" s="292">
        <v>1E-3</v>
      </c>
      <c r="M38" s="292">
        <v>8.0000000000000004E-4</v>
      </c>
    </row>
    <row r="39" spans="2:13" ht="21" customHeight="1">
      <c r="B39" s="293" t="s">
        <v>287</v>
      </c>
      <c r="C39" s="294" t="s">
        <v>288</v>
      </c>
      <c r="D39" s="295">
        <f t="shared" si="3"/>
        <v>5.2900000000000003E-2</v>
      </c>
      <c r="E39" s="295">
        <f t="shared" si="3"/>
        <v>4.0899999999999999E-2</v>
      </c>
      <c r="J39" s="292">
        <v>5.2900000000000003E-2</v>
      </c>
      <c r="K39" s="292">
        <v>4.0899999999999999E-2</v>
      </c>
      <c r="L39" s="292">
        <v>5.2900000000000003E-2</v>
      </c>
      <c r="M39" s="292">
        <v>4.0899999999999999E-2</v>
      </c>
    </row>
    <row r="40" spans="2:13" ht="21" customHeight="1">
      <c r="B40" s="296" t="s">
        <v>289</v>
      </c>
      <c r="C40" s="297" t="s">
        <v>290</v>
      </c>
      <c r="D40" s="298">
        <f t="shared" si="3"/>
        <v>3.6299999999999999E-2</v>
      </c>
      <c r="E40" s="298">
        <f t="shared" si="3"/>
        <v>2.81E-2</v>
      </c>
      <c r="J40" s="292">
        <v>3.6299999999999999E-2</v>
      </c>
      <c r="K40" s="292">
        <v>2.81E-2</v>
      </c>
      <c r="L40" s="292">
        <v>3.6299999999999999E-2</v>
      </c>
      <c r="M40" s="292">
        <v>2.81E-2</v>
      </c>
    </row>
    <row r="41" spans="2:13" ht="21" customHeight="1">
      <c r="B41" s="293" t="s">
        <v>291</v>
      </c>
      <c r="C41" s="294" t="s">
        <v>292</v>
      </c>
      <c r="D41" s="295">
        <f t="shared" si="3"/>
        <v>3.5999999999999999E-3</v>
      </c>
      <c r="E41" s="295">
        <f t="shared" si="3"/>
        <v>2.8E-3</v>
      </c>
      <c r="J41" s="292">
        <v>3.5999999999999999E-3</v>
      </c>
      <c r="K41" s="292">
        <v>2.8E-3</v>
      </c>
      <c r="L41" s="292">
        <v>3.5999999999999999E-3</v>
      </c>
      <c r="M41" s="292">
        <v>2.8E-3</v>
      </c>
    </row>
    <row r="42" spans="2:13" ht="21" customHeight="1">
      <c r="B42" s="299" t="s">
        <v>293</v>
      </c>
      <c r="C42" s="299" t="s">
        <v>258</v>
      </c>
      <c r="D42" s="300">
        <f t="shared" si="3"/>
        <v>0.1366</v>
      </c>
      <c r="E42" s="300">
        <f t="shared" si="3"/>
        <v>0.10579999999999999</v>
      </c>
      <c r="J42" s="301">
        <f>SUM(J37:J41)</f>
        <v>0.1366</v>
      </c>
      <c r="K42" s="301">
        <f t="shared" ref="K42:M42" si="4">SUM(K37:K41)</f>
        <v>0.10579999999999999</v>
      </c>
      <c r="L42" s="301">
        <f t="shared" si="4"/>
        <v>0.1366</v>
      </c>
      <c r="M42" s="301">
        <f t="shared" si="4"/>
        <v>0.10579999999999999</v>
      </c>
    </row>
    <row r="43" spans="2:13" ht="21" customHeight="1">
      <c r="B43" s="429" t="s">
        <v>294</v>
      </c>
      <c r="C43" s="429"/>
      <c r="D43" s="429"/>
      <c r="E43" s="429"/>
    </row>
    <row r="44" spans="2:13" ht="21" customHeight="1">
      <c r="B44" s="293" t="s">
        <v>295</v>
      </c>
      <c r="C44" s="294" t="s">
        <v>296</v>
      </c>
      <c r="D44" s="295">
        <f t="shared" ref="D44:E48" si="5">IF($D$10="COM DESONERAÇÃO",J44,L44)</f>
        <v>0.1608</v>
      </c>
      <c r="E44" s="295">
        <f t="shared" si="5"/>
        <v>5.7000000000000002E-2</v>
      </c>
      <c r="J44" s="292">
        <v>7.3400000000000007E-2</v>
      </c>
      <c r="K44" s="292">
        <v>2.5999999999999999E-2</v>
      </c>
      <c r="L44" s="292">
        <v>0.1608</v>
      </c>
      <c r="M44" s="292">
        <v>5.7000000000000002E-2</v>
      </c>
    </row>
    <row r="45" spans="2:13" ht="30">
      <c r="B45" s="296" t="s">
        <v>297</v>
      </c>
      <c r="C45" s="303" t="s">
        <v>298</v>
      </c>
      <c r="D45" s="298">
        <f t="shared" si="5"/>
        <v>3.8E-3</v>
      </c>
      <c r="E45" s="298">
        <f t="shared" si="5"/>
        <v>3.0000000000000001E-3</v>
      </c>
      <c r="J45" s="292">
        <v>3.5999999999999999E-3</v>
      </c>
      <c r="K45" s="292">
        <v>2.8E-3</v>
      </c>
      <c r="L45" s="292">
        <v>3.8E-3</v>
      </c>
      <c r="M45" s="292">
        <v>3.0000000000000001E-3</v>
      </c>
    </row>
    <row r="46" spans="2:13" ht="21" customHeight="1">
      <c r="B46" s="291" t="s">
        <v>299</v>
      </c>
      <c r="C46" s="291" t="s">
        <v>258</v>
      </c>
      <c r="D46" s="302">
        <f t="shared" si="5"/>
        <v>0.1646</v>
      </c>
      <c r="E46" s="302">
        <f t="shared" si="5"/>
        <v>6.0000000000000005E-2</v>
      </c>
      <c r="J46" s="301">
        <f>SUM(J44:J45)</f>
        <v>7.7000000000000013E-2</v>
      </c>
      <c r="K46" s="301">
        <f>SUM(K44:K45)</f>
        <v>2.8799999999999999E-2</v>
      </c>
      <c r="L46" s="301">
        <f>SUM(L44:L45)</f>
        <v>0.1646</v>
      </c>
      <c r="M46" s="301">
        <f>SUM(M44:M45)</f>
        <v>6.0000000000000005E-2</v>
      </c>
    </row>
    <row r="47" spans="2:13" ht="21" customHeight="1">
      <c r="B47" s="429" t="s">
        <v>300</v>
      </c>
      <c r="C47" s="429"/>
      <c r="D47" s="304">
        <f t="shared" si="5"/>
        <v>1.1061000000000001</v>
      </c>
      <c r="E47" s="304">
        <f t="shared" si="5"/>
        <v>0.6886000000000001</v>
      </c>
      <c r="J47" s="301">
        <f>SUM(J23,J35,J42,J46)</f>
        <v>0.81850000000000001</v>
      </c>
      <c r="K47" s="301">
        <f t="shared" ref="K47:M47" si="6">SUM(K23,K35,K42,K46)</f>
        <v>0.45739999999999997</v>
      </c>
      <c r="L47" s="301">
        <f t="shared" si="6"/>
        <v>1.1061000000000001</v>
      </c>
      <c r="M47" s="301">
        <f t="shared" si="6"/>
        <v>0.6886000000000001</v>
      </c>
    </row>
    <row r="48" spans="2:13" ht="21" customHeight="1">
      <c r="B48" s="429" t="s">
        <v>391</v>
      </c>
      <c r="C48" s="429"/>
      <c r="D48" s="430">
        <f t="shared" si="5"/>
        <v>0.89735000000000009</v>
      </c>
      <c r="E48" s="431"/>
      <c r="I48" s="285" t="s">
        <v>301</v>
      </c>
      <c r="J48" s="428">
        <f>AVERAGE(J47:K47)</f>
        <v>0.63795000000000002</v>
      </c>
      <c r="K48" s="428"/>
      <c r="L48" s="428">
        <f>AVERAGE(L47:M47)</f>
        <v>0.89735000000000009</v>
      </c>
      <c r="M48" s="428"/>
    </row>
    <row r="49" spans="2:5" ht="21" customHeight="1"/>
    <row r="50" spans="2:5" ht="21" customHeight="1">
      <c r="B50" s="305"/>
      <c r="D50" s="305"/>
      <c r="E50" s="305"/>
    </row>
    <row r="51" spans="2:5" ht="21" customHeight="1">
      <c r="B51" s="306"/>
      <c r="E51" s="306"/>
    </row>
    <row r="52" spans="2:5" ht="21" customHeight="1">
      <c r="B52" s="433" t="str">
        <f>ORÇAMENTO!B130</f>
        <v>Eng. Civil Lorenzo Schnorr Fornari</v>
      </c>
      <c r="C52" s="433"/>
      <c r="D52" s="432" t="str">
        <f>ORÇAMENTO!F130</f>
        <v>Prefeitura Municipal</v>
      </c>
      <c r="E52" s="432"/>
    </row>
    <row r="53" spans="2:5" ht="21" customHeight="1">
      <c r="B53" s="434" t="str">
        <f>ORÇAMENTO!B131</f>
        <v>CREA RS247702</v>
      </c>
      <c r="C53" s="434"/>
      <c r="D53" s="432" t="str">
        <f>ORÇAMENTO!F131</f>
        <v>de Cruzeiro do Sul/RS</v>
      </c>
      <c r="E53" s="432"/>
    </row>
  </sheetData>
  <mergeCells count="19">
    <mergeCell ref="D52:E52"/>
    <mergeCell ref="D53:E53"/>
    <mergeCell ref="B52:C52"/>
    <mergeCell ref="B53:C53"/>
    <mergeCell ref="J48:K48"/>
    <mergeCell ref="L48:M48"/>
    <mergeCell ref="B13:E13"/>
    <mergeCell ref="B24:E24"/>
    <mergeCell ref="B36:E36"/>
    <mergeCell ref="B43:E43"/>
    <mergeCell ref="B47:C47"/>
    <mergeCell ref="B48:C48"/>
    <mergeCell ref="D48:E48"/>
    <mergeCell ref="L10:M10"/>
    <mergeCell ref="B9:E9"/>
    <mergeCell ref="B10:B12"/>
    <mergeCell ref="C10:C12"/>
    <mergeCell ref="D10:E10"/>
    <mergeCell ref="J10:K10"/>
  </mergeCells>
  <dataValidations count="1">
    <dataValidation type="list" allowBlank="1" showInputMessage="1" showErrorMessage="1" sqref="D10:E10">
      <formula1>"COM DESONERAÇÃO,SEM DESONERAÇÃO"</formula1>
    </dataValidation>
  </dataValidations>
  <printOptions horizontalCentered="1"/>
  <pageMargins left="0.51181102362204722" right="0.51181102362204722" top="0.39370078740157483" bottom="0.19685039370078741" header="0.31496062992125984" footer="0.31496062992125984"/>
  <pageSetup paperSize="9" scale="64"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2">
    <tabColor theme="0" tint="-0.14999847407452621"/>
    <pageSetUpPr fitToPage="1"/>
  </sheetPr>
  <dimension ref="A1:I58"/>
  <sheetViews>
    <sheetView showGridLines="0" view="pageBreakPreview" topLeftCell="A22" zoomScale="80" zoomScaleSheetLayoutView="80" workbookViewId="0">
      <selection activeCell="J10" sqref="J10"/>
    </sheetView>
  </sheetViews>
  <sheetFormatPr defaultRowHeight="14.25"/>
  <cols>
    <col min="1" max="1" width="8.7109375" style="19" customWidth="1"/>
    <col min="2" max="2" width="47.7109375" style="20" customWidth="1"/>
    <col min="3" max="3" width="18.85546875" style="14" customWidth="1"/>
    <col min="4" max="4" width="20" style="14" customWidth="1"/>
    <col min="5" max="5" width="13.42578125" style="14" bestFit="1" customWidth="1"/>
    <col min="6" max="6" width="14.42578125" style="14" customWidth="1"/>
    <col min="7" max="7" width="14.7109375" style="14" customWidth="1"/>
    <col min="8" max="8" width="20.140625" style="21" customWidth="1"/>
    <col min="9" max="9" width="22.7109375" style="23" customWidth="1"/>
    <col min="10" max="16384" width="9.140625" style="14"/>
  </cols>
  <sheetData>
    <row r="1" spans="1:9" ht="22.5" customHeight="1">
      <c r="A1" s="9"/>
      <c r="B1" s="10"/>
      <c r="C1" s="11"/>
      <c r="D1" s="11"/>
      <c r="E1" s="11"/>
      <c r="F1" s="11"/>
      <c r="G1" s="11"/>
      <c r="H1" s="12"/>
      <c r="I1" s="13"/>
    </row>
    <row r="2" spans="1:9" ht="22.5" customHeight="1">
      <c r="A2" s="9"/>
      <c r="B2" s="10"/>
      <c r="C2" s="11"/>
      <c r="D2" s="11"/>
      <c r="E2" s="11"/>
      <c r="F2" s="11"/>
      <c r="G2" s="11"/>
      <c r="H2" s="12"/>
      <c r="I2" s="13"/>
    </row>
    <row r="3" spans="1:9" ht="22.5" customHeight="1">
      <c r="A3" s="9"/>
      <c r="B3" s="10"/>
      <c r="C3" s="11"/>
      <c r="D3" s="11"/>
      <c r="E3" s="11"/>
      <c r="F3" s="11"/>
      <c r="G3" s="11"/>
      <c r="H3" s="12"/>
      <c r="I3" s="13"/>
    </row>
    <row r="4" spans="1:9" ht="22.5" customHeight="1">
      <c r="A4" s="240" t="s">
        <v>308</v>
      </c>
      <c r="B4" s="10"/>
      <c r="C4" s="11"/>
      <c r="D4" s="11"/>
      <c r="E4" s="11"/>
      <c r="F4" s="11"/>
      <c r="G4" s="11"/>
      <c r="H4" s="12"/>
      <c r="I4" s="13"/>
    </row>
    <row r="5" spans="1:9" ht="22.5" customHeight="1">
      <c r="B5" s="10"/>
      <c r="C5" s="11"/>
      <c r="D5" s="11"/>
      <c r="E5" s="11"/>
      <c r="F5" s="11"/>
      <c r="G5" s="11"/>
      <c r="H5" s="12" t="str">
        <f>ORÇAMENTO!I2</f>
        <v>Cruzeiro do Sul/RS, janeiro de 2022</v>
      </c>
      <c r="I5" s="13"/>
    </row>
    <row r="6" spans="1:9" ht="22.5" customHeight="1">
      <c r="A6" s="9" t="s">
        <v>373</v>
      </c>
      <c r="B6" s="10"/>
      <c r="C6" s="11"/>
      <c r="D6" s="11"/>
      <c r="E6" s="11"/>
      <c r="F6" s="11"/>
      <c r="G6" s="11"/>
      <c r="H6" s="12"/>
      <c r="I6" s="13"/>
    </row>
    <row r="7" spans="1:9" ht="22.5" customHeight="1">
      <c r="A7" s="9" t="s">
        <v>335</v>
      </c>
      <c r="B7" s="10"/>
      <c r="C7" s="11"/>
      <c r="D7" s="11"/>
      <c r="E7" s="11"/>
      <c r="F7" s="11"/>
      <c r="G7" s="11"/>
      <c r="H7" s="12"/>
      <c r="I7" s="13"/>
    </row>
    <row r="8" spans="1:9" ht="22.5" customHeight="1">
      <c r="B8" s="10"/>
      <c r="C8" s="11"/>
      <c r="D8" s="11"/>
      <c r="E8" s="11"/>
      <c r="F8" s="11"/>
      <c r="G8" s="11"/>
      <c r="H8" s="12"/>
      <c r="I8" s="13"/>
    </row>
    <row r="9" spans="1:9" ht="22.5" customHeight="1">
      <c r="A9" s="9"/>
      <c r="B9" s="10"/>
      <c r="C9" s="11"/>
      <c r="D9" s="11"/>
      <c r="E9" s="11"/>
      <c r="F9" s="11"/>
      <c r="G9" s="11"/>
      <c r="H9" s="12"/>
      <c r="I9" s="13"/>
    </row>
    <row r="10" spans="1:9" ht="22.5" customHeight="1">
      <c r="A10" s="9"/>
      <c r="B10" s="10"/>
      <c r="C10" s="11"/>
      <c r="D10" s="11"/>
      <c r="E10" s="11"/>
      <c r="F10" s="11"/>
      <c r="G10" s="11"/>
      <c r="H10" s="12"/>
      <c r="I10" s="13"/>
    </row>
    <row r="11" spans="1:9" ht="42" customHeight="1">
      <c r="B11" s="10"/>
      <c r="C11" s="11"/>
      <c r="D11" s="11"/>
      <c r="E11" s="11"/>
      <c r="F11" s="11"/>
      <c r="G11" s="11"/>
      <c r="H11" s="12"/>
      <c r="I11" s="13"/>
    </row>
    <row r="12" spans="1:9">
      <c r="A12" s="435" t="s">
        <v>90</v>
      </c>
      <c r="B12" s="435"/>
      <c r="C12" s="435"/>
      <c r="D12" s="435"/>
      <c r="E12" s="435"/>
      <c r="F12" s="435"/>
      <c r="G12" s="435"/>
      <c r="H12" s="435"/>
      <c r="I12" s="435"/>
    </row>
    <row r="13" spans="1:9">
      <c r="A13" s="15"/>
      <c r="B13" s="10"/>
      <c r="C13" s="11"/>
      <c r="D13" s="11"/>
      <c r="E13" s="11"/>
      <c r="F13" s="11"/>
      <c r="G13" s="11"/>
      <c r="H13" s="12"/>
      <c r="I13" s="13"/>
    </row>
    <row r="14" spans="1:9" ht="15">
      <c r="A14" s="15"/>
      <c r="B14" s="144"/>
      <c r="C14" s="11"/>
      <c r="D14" s="124" t="s">
        <v>91</v>
      </c>
      <c r="E14" s="11"/>
      <c r="F14" s="11"/>
      <c r="G14" s="12"/>
      <c r="H14" s="11"/>
      <c r="I14" s="13"/>
    </row>
    <row r="15" spans="1:9" ht="15">
      <c r="A15" s="15"/>
      <c r="B15" s="71"/>
      <c r="C15" s="11"/>
      <c r="D15" s="16"/>
      <c r="E15" s="11"/>
      <c r="F15" s="11"/>
      <c r="G15" s="125"/>
      <c r="H15" s="126" t="s">
        <v>93</v>
      </c>
      <c r="I15" s="127">
        <v>40</v>
      </c>
    </row>
    <row r="16" spans="1:9" ht="15">
      <c r="A16" s="15"/>
      <c r="B16" s="71"/>
      <c r="C16" s="11"/>
      <c r="D16" s="16"/>
      <c r="E16" s="11"/>
      <c r="F16" s="11"/>
      <c r="G16" s="125"/>
      <c r="H16" s="126" t="s">
        <v>94</v>
      </c>
      <c r="I16" s="128">
        <f>E18/I15/24</f>
        <v>2.4999999999999998E-2</v>
      </c>
    </row>
    <row r="17" spans="1:9">
      <c r="A17" s="15"/>
      <c r="B17" s="10"/>
      <c r="C17" s="11"/>
      <c r="D17" s="16"/>
      <c r="E17" s="11"/>
      <c r="F17" s="11"/>
      <c r="G17" s="12"/>
      <c r="H17" s="11"/>
      <c r="I17" s="13"/>
    </row>
    <row r="18" spans="1:9" ht="15">
      <c r="A18" s="15"/>
      <c r="B18" s="10"/>
      <c r="C18" s="11"/>
      <c r="D18" s="126" t="s">
        <v>95</v>
      </c>
      <c r="E18" s="123">
        <v>24</v>
      </c>
      <c r="F18" s="123" t="s">
        <v>92</v>
      </c>
      <c r="G18" s="12"/>
      <c r="H18" s="11"/>
      <c r="I18" s="13"/>
    </row>
    <row r="19" spans="1:9">
      <c r="A19" s="15"/>
      <c r="B19" s="10"/>
      <c r="C19" s="11"/>
      <c r="D19" s="11"/>
      <c r="E19" s="11"/>
      <c r="F19" s="11"/>
      <c r="G19" s="12"/>
      <c r="H19" s="11"/>
      <c r="I19" s="13"/>
    </row>
    <row r="20" spans="1:9">
      <c r="A20" s="15"/>
      <c r="B20" s="10"/>
      <c r="C20" s="11"/>
      <c r="D20" s="11"/>
      <c r="E20" s="11"/>
      <c r="F20" s="11"/>
      <c r="G20" s="11"/>
      <c r="H20" s="12"/>
      <c r="I20" s="13"/>
    </row>
    <row r="21" spans="1:9" s="17" customFormat="1" ht="20.25" customHeight="1">
      <c r="A21" s="436" t="s">
        <v>6</v>
      </c>
      <c r="B21" s="436" t="s">
        <v>96</v>
      </c>
      <c r="C21" s="436" t="s">
        <v>7</v>
      </c>
      <c r="D21" s="437" t="s">
        <v>97</v>
      </c>
      <c r="E21" s="436" t="s">
        <v>98</v>
      </c>
      <c r="F21" s="436"/>
      <c r="G21" s="437" t="s">
        <v>99</v>
      </c>
      <c r="H21" s="438" t="s">
        <v>100</v>
      </c>
      <c r="I21" s="439" t="s">
        <v>101</v>
      </c>
    </row>
    <row r="22" spans="1:9" s="18" customFormat="1" ht="17.25" customHeight="1">
      <c r="A22" s="436"/>
      <c r="B22" s="436"/>
      <c r="C22" s="436"/>
      <c r="D22" s="437"/>
      <c r="E22" s="129" t="s">
        <v>102</v>
      </c>
      <c r="F22" s="130" t="s">
        <v>103</v>
      </c>
      <c r="G22" s="437"/>
      <c r="H22" s="438"/>
      <c r="I22" s="439"/>
    </row>
    <row r="23" spans="1:9" ht="17.25" customHeight="1">
      <c r="A23" s="131">
        <v>1</v>
      </c>
      <c r="B23" s="132" t="s">
        <v>104</v>
      </c>
      <c r="C23" s="131"/>
      <c r="D23" s="131"/>
      <c r="E23" s="131"/>
      <c r="F23" s="131"/>
      <c r="G23" s="131"/>
      <c r="H23" s="133"/>
      <c r="I23" s="134"/>
    </row>
    <row r="24" spans="1:9" ht="17.25" customHeight="1">
      <c r="A24" s="131" t="s">
        <v>8</v>
      </c>
      <c r="B24" s="132" t="s">
        <v>105</v>
      </c>
      <c r="C24" s="131">
        <f>SUM(C25:C34)</f>
        <v>20</v>
      </c>
      <c r="D24" s="135">
        <f>$E$18/$I$15</f>
        <v>0.6</v>
      </c>
      <c r="E24" s="131" t="s">
        <v>106</v>
      </c>
      <c r="F24" s="131" t="s">
        <v>205</v>
      </c>
      <c r="G24" s="131">
        <v>2</v>
      </c>
      <c r="H24" s="136">
        <v>200.88</v>
      </c>
      <c r="I24" s="137">
        <f>ROUND(H24*G24*D24*C24,2)</f>
        <v>4821.12</v>
      </c>
    </row>
    <row r="25" spans="1:9" ht="17.25" customHeight="1">
      <c r="A25" s="131" t="s">
        <v>9</v>
      </c>
      <c r="B25" s="132" t="s">
        <v>107</v>
      </c>
      <c r="C25" s="131">
        <v>2</v>
      </c>
      <c r="D25" s="131"/>
      <c r="E25" s="131"/>
      <c r="F25" s="131"/>
      <c r="G25" s="131"/>
      <c r="H25" s="136"/>
      <c r="I25" s="137"/>
    </row>
    <row r="26" spans="1:9" ht="17.25" customHeight="1">
      <c r="A26" s="131" t="s">
        <v>10</v>
      </c>
      <c r="B26" s="132" t="s">
        <v>108</v>
      </c>
      <c r="C26" s="131">
        <v>2</v>
      </c>
      <c r="D26" s="131"/>
      <c r="E26" s="131"/>
      <c r="F26" s="131"/>
      <c r="G26" s="131"/>
      <c r="H26" s="136"/>
      <c r="I26" s="137"/>
    </row>
    <row r="27" spans="1:9" ht="17.25" customHeight="1">
      <c r="A27" s="131" t="s">
        <v>11</v>
      </c>
      <c r="B27" s="132" t="s">
        <v>109</v>
      </c>
      <c r="C27" s="131">
        <v>2</v>
      </c>
      <c r="D27" s="131"/>
      <c r="E27" s="131"/>
      <c r="F27" s="131"/>
      <c r="G27" s="131"/>
      <c r="H27" s="136"/>
      <c r="I27" s="137"/>
    </row>
    <row r="28" spans="1:9" ht="17.25" customHeight="1">
      <c r="A28" s="131" t="s">
        <v>12</v>
      </c>
      <c r="B28" s="132" t="s">
        <v>111</v>
      </c>
      <c r="C28" s="131">
        <v>2</v>
      </c>
      <c r="D28" s="131"/>
      <c r="E28" s="131"/>
      <c r="F28" s="131"/>
      <c r="G28" s="131"/>
      <c r="H28" s="136"/>
      <c r="I28" s="137"/>
    </row>
    <row r="29" spans="1:9" ht="17.25" customHeight="1">
      <c r="A29" s="131" t="s">
        <v>110</v>
      </c>
      <c r="B29" s="132" t="s">
        <v>113</v>
      </c>
      <c r="C29" s="131">
        <v>2</v>
      </c>
      <c r="D29" s="131"/>
      <c r="E29" s="131"/>
      <c r="F29" s="131"/>
      <c r="G29" s="131"/>
      <c r="H29" s="136"/>
      <c r="I29" s="137"/>
    </row>
    <row r="30" spans="1:9" ht="17.25" customHeight="1">
      <c r="A30" s="131" t="s">
        <v>112</v>
      </c>
      <c r="B30" s="132" t="s">
        <v>115</v>
      </c>
      <c r="C30" s="131">
        <v>2</v>
      </c>
      <c r="D30" s="131"/>
      <c r="E30" s="131"/>
      <c r="F30" s="131"/>
      <c r="G30" s="131"/>
      <c r="H30" s="136"/>
      <c r="I30" s="137"/>
    </row>
    <row r="31" spans="1:9" ht="17.25" customHeight="1">
      <c r="A31" s="131" t="s">
        <v>114</v>
      </c>
      <c r="B31" s="132" t="s">
        <v>117</v>
      </c>
      <c r="C31" s="131">
        <v>2</v>
      </c>
      <c r="D31" s="131"/>
      <c r="E31" s="131"/>
      <c r="F31" s="131"/>
      <c r="G31" s="131"/>
      <c r="H31" s="136"/>
      <c r="I31" s="137"/>
    </row>
    <row r="32" spans="1:9" ht="17.25" customHeight="1">
      <c r="A32" s="131" t="s">
        <v>116</v>
      </c>
      <c r="B32" s="132" t="s">
        <v>119</v>
      </c>
      <c r="C32" s="131">
        <v>2</v>
      </c>
      <c r="D32" s="131"/>
      <c r="E32" s="131"/>
      <c r="F32" s="131"/>
      <c r="G32" s="131"/>
      <c r="H32" s="136"/>
      <c r="I32" s="137"/>
    </row>
    <row r="33" spans="1:9" ht="17.25" customHeight="1">
      <c r="A33" s="131" t="s">
        <v>118</v>
      </c>
      <c r="B33" s="132" t="s">
        <v>121</v>
      </c>
      <c r="C33" s="131">
        <v>2</v>
      </c>
      <c r="D33" s="131"/>
      <c r="E33" s="131"/>
      <c r="F33" s="131"/>
      <c r="G33" s="131"/>
      <c r="H33" s="136"/>
      <c r="I33" s="137"/>
    </row>
    <row r="34" spans="1:9" ht="17.25" customHeight="1">
      <c r="A34" s="131" t="s">
        <v>120</v>
      </c>
      <c r="B34" s="132" t="s">
        <v>122</v>
      </c>
      <c r="C34" s="131">
        <v>2</v>
      </c>
      <c r="D34" s="131"/>
      <c r="E34" s="131"/>
      <c r="F34" s="131"/>
      <c r="G34" s="131"/>
      <c r="H34" s="136"/>
      <c r="I34" s="137"/>
    </row>
    <row r="35" spans="1:9" ht="17.25" customHeight="1">
      <c r="A35" s="131"/>
      <c r="B35" s="132"/>
      <c r="C35" s="131"/>
      <c r="D35" s="131"/>
      <c r="E35" s="131"/>
      <c r="F35" s="131"/>
      <c r="G35" s="131"/>
      <c r="H35" s="133" t="s">
        <v>123</v>
      </c>
      <c r="I35" s="134">
        <f>SUM(I24:I34)</f>
        <v>4821.12</v>
      </c>
    </row>
    <row r="36" spans="1:9" ht="17.25" customHeight="1">
      <c r="A36" s="131"/>
      <c r="B36" s="132"/>
      <c r="C36" s="131"/>
      <c r="D36" s="131"/>
      <c r="E36" s="131"/>
      <c r="F36" s="131"/>
      <c r="G36" s="131"/>
      <c r="H36" s="133"/>
      <c r="I36" s="134"/>
    </row>
    <row r="37" spans="1:9" ht="17.25" customHeight="1">
      <c r="A37" s="131">
        <v>2</v>
      </c>
      <c r="B37" s="132" t="s">
        <v>124</v>
      </c>
      <c r="C37" s="131"/>
      <c r="D37" s="131"/>
      <c r="E37" s="131"/>
      <c r="F37" s="131"/>
      <c r="G37" s="131"/>
      <c r="H37" s="133"/>
      <c r="I37" s="134"/>
    </row>
    <row r="38" spans="1:9" ht="17.25" customHeight="1">
      <c r="A38" s="131" t="s">
        <v>13</v>
      </c>
      <c r="B38" s="132" t="s">
        <v>125</v>
      </c>
      <c r="C38" s="131">
        <v>2</v>
      </c>
      <c r="D38" s="135">
        <f t="shared" ref="D38:D43" si="0">$E$18/$I$15</f>
        <v>0.6</v>
      </c>
      <c r="E38" s="131" t="s">
        <v>106</v>
      </c>
      <c r="F38" s="131" t="s">
        <v>206</v>
      </c>
      <c r="G38" s="131">
        <v>2</v>
      </c>
      <c r="H38" s="136">
        <v>159.22999999999999</v>
      </c>
      <c r="I38" s="137">
        <f t="shared" ref="I38:I43" si="1">H38*G38*D38*C38</f>
        <v>382.15199999999999</v>
      </c>
    </row>
    <row r="39" spans="1:9" ht="17.25" customHeight="1">
      <c r="A39" s="131" t="s">
        <v>14</v>
      </c>
      <c r="B39" s="132" t="s">
        <v>126</v>
      </c>
      <c r="C39" s="131">
        <v>2</v>
      </c>
      <c r="D39" s="135">
        <f t="shared" si="0"/>
        <v>0.6</v>
      </c>
      <c r="E39" s="131" t="s">
        <v>106</v>
      </c>
      <c r="F39" s="131" t="s">
        <v>207</v>
      </c>
      <c r="G39" s="131">
        <v>2</v>
      </c>
      <c r="H39" s="136">
        <v>160.43</v>
      </c>
      <c r="I39" s="137">
        <f t="shared" si="1"/>
        <v>385.03199999999998</v>
      </c>
    </row>
    <row r="40" spans="1:9" ht="17.25" customHeight="1">
      <c r="A40" s="131" t="s">
        <v>15</v>
      </c>
      <c r="B40" s="132" t="s">
        <v>127</v>
      </c>
      <c r="C40" s="131">
        <v>2</v>
      </c>
      <c r="D40" s="135">
        <f t="shared" si="0"/>
        <v>0.6</v>
      </c>
      <c r="E40" s="131" t="s">
        <v>106</v>
      </c>
      <c r="F40" s="131" t="s">
        <v>230</v>
      </c>
      <c r="G40" s="131">
        <v>2</v>
      </c>
      <c r="H40" s="136">
        <v>196.06</v>
      </c>
      <c r="I40" s="137">
        <f t="shared" si="1"/>
        <v>470.54399999999998</v>
      </c>
    </row>
    <row r="41" spans="1:9" ht="17.25" customHeight="1">
      <c r="A41" s="131" t="s">
        <v>16</v>
      </c>
      <c r="B41" s="132" t="s">
        <v>128</v>
      </c>
      <c r="C41" s="131">
        <v>4</v>
      </c>
      <c r="D41" s="135">
        <f t="shared" si="0"/>
        <v>0.6</v>
      </c>
      <c r="E41" s="131" t="s">
        <v>106</v>
      </c>
      <c r="F41" s="131" t="s">
        <v>208</v>
      </c>
      <c r="G41" s="131">
        <v>2</v>
      </c>
      <c r="H41" s="136">
        <v>114.04</v>
      </c>
      <c r="I41" s="137">
        <f t="shared" si="1"/>
        <v>547.39200000000005</v>
      </c>
    </row>
    <row r="42" spans="1:9" ht="17.25" customHeight="1">
      <c r="A42" s="131" t="s">
        <v>17</v>
      </c>
      <c r="B42" s="132" t="s">
        <v>129</v>
      </c>
      <c r="C42" s="131">
        <v>8</v>
      </c>
      <c r="D42" s="135">
        <f t="shared" si="0"/>
        <v>0.6</v>
      </c>
      <c r="E42" s="131" t="s">
        <v>106</v>
      </c>
      <c r="F42" s="131" t="s">
        <v>209</v>
      </c>
      <c r="G42" s="131">
        <v>2</v>
      </c>
      <c r="H42" s="136">
        <v>156.24</v>
      </c>
      <c r="I42" s="137">
        <f t="shared" si="1"/>
        <v>1499.904</v>
      </c>
    </row>
    <row r="43" spans="1:9" ht="17.25" customHeight="1">
      <c r="A43" s="131" t="s">
        <v>18</v>
      </c>
      <c r="B43" s="132" t="s">
        <v>130</v>
      </c>
      <c r="C43" s="131">
        <v>2</v>
      </c>
      <c r="D43" s="135">
        <f t="shared" si="0"/>
        <v>0.6</v>
      </c>
      <c r="E43" s="131" t="s">
        <v>106</v>
      </c>
      <c r="F43" s="131" t="s">
        <v>210</v>
      </c>
      <c r="G43" s="131">
        <v>2</v>
      </c>
      <c r="H43" s="136">
        <v>114.65</v>
      </c>
      <c r="I43" s="137">
        <f t="shared" si="1"/>
        <v>275.16000000000003</v>
      </c>
    </row>
    <row r="44" spans="1:9" ht="17.25" customHeight="1">
      <c r="A44" s="131"/>
      <c r="B44" s="132"/>
      <c r="C44" s="131"/>
      <c r="D44" s="131"/>
      <c r="E44" s="131"/>
      <c r="F44" s="131"/>
      <c r="G44" s="131"/>
      <c r="H44" s="133" t="s">
        <v>123</v>
      </c>
      <c r="I44" s="134">
        <f>SUM(I38:I43)</f>
        <v>3560.1840000000002</v>
      </c>
    </row>
    <row r="45" spans="1:9" ht="17.25" customHeight="1">
      <c r="A45" s="131"/>
      <c r="B45" s="132"/>
      <c r="C45" s="131"/>
      <c r="D45" s="131"/>
      <c r="E45" s="131"/>
      <c r="F45" s="131"/>
      <c r="G45" s="131"/>
      <c r="H45" s="133"/>
      <c r="I45" s="134"/>
    </row>
    <row r="46" spans="1:9" ht="17.25" customHeight="1">
      <c r="A46" s="131"/>
      <c r="B46" s="132"/>
      <c r="C46" s="131"/>
      <c r="D46" s="131"/>
      <c r="E46" s="131"/>
      <c r="F46" s="131"/>
      <c r="G46" s="131"/>
      <c r="H46" s="133"/>
      <c r="I46" s="134"/>
    </row>
    <row r="47" spans="1:9" ht="17.25" customHeight="1">
      <c r="A47" s="131"/>
      <c r="B47" s="132"/>
      <c r="C47" s="131"/>
      <c r="D47" s="131"/>
      <c r="E47" s="131"/>
      <c r="F47" s="131"/>
      <c r="G47" s="131"/>
      <c r="H47" s="133" t="s">
        <v>19</v>
      </c>
      <c r="I47" s="134">
        <f>I44+I35</f>
        <v>8381.3040000000001</v>
      </c>
    </row>
    <row r="48" spans="1:9" ht="17.25" customHeight="1">
      <c r="B48" s="132"/>
      <c r="C48" s="131"/>
      <c r="D48" s="131"/>
      <c r="E48" s="131"/>
      <c r="F48" s="131"/>
      <c r="G48" s="138"/>
      <c r="H48" s="133" t="s">
        <v>392</v>
      </c>
      <c r="I48" s="134">
        <f>ROUND(I47*0.2423,2)</f>
        <v>2030.79</v>
      </c>
    </row>
    <row r="49" spans="1:9" ht="17.25" customHeight="1">
      <c r="A49" s="250" t="s">
        <v>231</v>
      </c>
      <c r="B49" s="132"/>
      <c r="C49" s="131"/>
      <c r="D49" s="131"/>
      <c r="E49" s="131"/>
      <c r="F49" s="131"/>
      <c r="G49" s="131"/>
      <c r="H49" s="139" t="s">
        <v>50</v>
      </c>
      <c r="I49" s="228">
        <f>I47+I48</f>
        <v>10412.094000000001</v>
      </c>
    </row>
    <row r="50" spans="1:9" ht="15">
      <c r="A50" s="141"/>
      <c r="B50" s="142"/>
      <c r="C50" s="123"/>
      <c r="D50" s="123"/>
      <c r="E50" s="123"/>
      <c r="F50" s="123"/>
      <c r="G50" s="123"/>
      <c r="H50" s="125"/>
      <c r="I50" s="143"/>
    </row>
    <row r="51" spans="1:9" ht="15">
      <c r="A51" s="141"/>
      <c r="B51" s="142"/>
      <c r="C51" s="123"/>
      <c r="D51" s="123"/>
      <c r="E51" s="123"/>
      <c r="F51" s="123"/>
      <c r="G51" s="123"/>
      <c r="H51" s="125"/>
      <c r="I51" s="143"/>
    </row>
    <row r="52" spans="1:9">
      <c r="A52" s="15"/>
      <c r="B52" s="10"/>
      <c r="C52" s="11"/>
      <c r="D52" s="11"/>
      <c r="E52" s="11"/>
      <c r="F52" s="11"/>
      <c r="G52" s="11"/>
      <c r="H52" s="12"/>
      <c r="I52" s="13"/>
    </row>
    <row r="53" spans="1:9">
      <c r="A53" s="15"/>
      <c r="C53" s="11"/>
      <c r="D53" s="11"/>
      <c r="E53" s="11"/>
      <c r="F53" s="11"/>
      <c r="I53" s="13"/>
    </row>
    <row r="54" spans="1:9">
      <c r="A54" s="15"/>
      <c r="D54" s="11"/>
      <c r="E54" s="11"/>
      <c r="F54" s="11"/>
      <c r="I54" s="13"/>
    </row>
    <row r="55" spans="1:9">
      <c r="C55" s="15"/>
      <c r="G55" s="15"/>
      <c r="I55" s="22"/>
    </row>
    <row r="56" spans="1:9" ht="15">
      <c r="C56" s="71"/>
      <c r="G56" s="71"/>
    </row>
    <row r="57" spans="1:9" ht="15">
      <c r="C57" s="200"/>
      <c r="G57" s="200"/>
    </row>
    <row r="58" spans="1:9" ht="15">
      <c r="C58" s="200"/>
    </row>
  </sheetData>
  <mergeCells count="9">
    <mergeCell ref="A12:I12"/>
    <mergeCell ref="A21:A22"/>
    <mergeCell ref="B21:B22"/>
    <mergeCell ref="C21:C22"/>
    <mergeCell ref="D21:D22"/>
    <mergeCell ref="E21:F21"/>
    <mergeCell ref="G21:G22"/>
    <mergeCell ref="H21:H22"/>
    <mergeCell ref="I21:I22"/>
  </mergeCells>
  <conditionalFormatting sqref="A24:I24 A35:I36 B28:I34 B25:I26 B48:G48 A49 A25:A34">
    <cfRule type="expression" dxfId="27" priority="15" stopIfTrue="1">
      <formula>#REF!="***"</formula>
    </cfRule>
    <cfRule type="expression" dxfId="26" priority="16" stopIfTrue="1">
      <formula>INT(#REF!)-#REF!=0</formula>
    </cfRule>
  </conditionalFormatting>
  <conditionalFormatting sqref="B27:I27">
    <cfRule type="expression" dxfId="25" priority="13" stopIfTrue="1">
      <formula>#REF!="***"</formula>
    </cfRule>
    <cfRule type="expression" dxfId="24" priority="14" stopIfTrue="1">
      <formula>INT(#REF!)-#REF!=0</formula>
    </cfRule>
  </conditionalFormatting>
  <conditionalFormatting sqref="A37:I37">
    <cfRule type="expression" dxfId="23" priority="9" stopIfTrue="1">
      <formula>#REF!="***"</formula>
    </cfRule>
    <cfRule type="expression" dxfId="22" priority="10" stopIfTrue="1">
      <formula>INT(#REF!)-#REF!=0</formula>
    </cfRule>
  </conditionalFormatting>
  <conditionalFormatting sqref="A23:I23">
    <cfRule type="expression" dxfId="21" priority="11" stopIfTrue="1">
      <formula>#REF!="***"</formula>
    </cfRule>
    <cfRule type="expression" dxfId="20" priority="12" stopIfTrue="1">
      <formula>INT(#REF!)-#REF!=0</formula>
    </cfRule>
  </conditionalFormatting>
  <conditionalFormatting sqref="A38:I38 B40:I43 A39:A43">
    <cfRule type="expression" dxfId="19" priority="7" stopIfTrue="1">
      <formula>#REF!="***"</formula>
    </cfRule>
    <cfRule type="expression" dxfId="18" priority="8" stopIfTrue="1">
      <formula>INT(#REF!)-#REF!=0</formula>
    </cfRule>
  </conditionalFormatting>
  <conditionalFormatting sqref="A44:I47 B49:I49">
    <cfRule type="expression" dxfId="17" priority="5" stopIfTrue="1">
      <formula>#REF!="***"</formula>
    </cfRule>
    <cfRule type="expression" dxfId="16" priority="6" stopIfTrue="1">
      <formula>INT(#REF!)-#REF!=0</formula>
    </cfRule>
  </conditionalFormatting>
  <conditionalFormatting sqref="B39:I39">
    <cfRule type="expression" dxfId="15" priority="3" stopIfTrue="1">
      <formula>#REF!="***"</formula>
    </cfRule>
    <cfRule type="expression" dxfId="14" priority="4" stopIfTrue="1">
      <formula>INT(#REF!)-#REF!=0</formula>
    </cfRule>
  </conditionalFormatting>
  <conditionalFormatting sqref="H48:I48">
    <cfRule type="expression" dxfId="13" priority="1" stopIfTrue="1">
      <formula>#REF!="***"</formula>
    </cfRule>
    <cfRule type="expression" dxfId="12" priority="2" stopIfTrue="1">
      <formula>INT(#REF!)-#REF!=0</formula>
    </cfRule>
  </conditionalFormatting>
  <dataValidations count="2">
    <dataValidation errorStyle="warning" allowBlank="1" showInputMessage="1" showErrorMessage="1" sqref="I25 I31"/>
    <dataValidation type="textLength" errorStyle="warning" allowBlank="1" showInputMessage="1" showErrorMessage="1" errorTitle="ATENÇÃO" error="Esta célula contém fórmula. _x000a_Clique em CANCELAR e digite o código. _x000a_Para um item sem código clique em SIM. " sqref="I35:I36 I29 I44:I49 A49 D23:D49 B23:B49 A23:A47">
      <formula1>0</formula1>
      <formula2>0</formula2>
    </dataValidation>
  </dataValidations>
  <pageMargins left="0.78740157480314965" right="0.39370078740157483" top="0.78740157480314965" bottom="0.78740157480314965" header="0.39370078740157483" footer="0.39370078740157483"/>
  <pageSetup paperSize="8" scale="75" firstPageNumber="6" fitToHeight="0" orientation="portrait" useFirstPageNumber="1" r:id="rId1"/>
  <headerFooter alignWithMargins="0">
    <oddFooter xml:space="preserve">&amp;C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3">
    <tabColor theme="0" tint="-0.14999847407452621"/>
    <pageSetUpPr fitToPage="1"/>
  </sheetPr>
  <dimension ref="A1:J35"/>
  <sheetViews>
    <sheetView showGridLines="0" view="pageBreakPreview" zoomScale="80" zoomScaleSheetLayoutView="80" workbookViewId="0">
      <selection activeCell="K1" sqref="K1"/>
    </sheetView>
  </sheetViews>
  <sheetFormatPr defaultRowHeight="14.25"/>
  <cols>
    <col min="1" max="1" width="6.42578125" style="19" customWidth="1"/>
    <col min="2" max="2" width="47.7109375" style="20" customWidth="1"/>
    <col min="3" max="3" width="15.5703125" style="14" customWidth="1"/>
    <col min="4" max="4" width="12.7109375" style="18" customWidth="1"/>
    <col min="5" max="5" width="12.7109375" style="14" customWidth="1"/>
    <col min="6" max="7" width="16.85546875" style="14" customWidth="1"/>
    <col min="8" max="8" width="18.85546875" style="14" customWidth="1"/>
    <col min="9" max="9" width="18.85546875" style="21" customWidth="1"/>
    <col min="10" max="10" width="23.85546875" style="23" customWidth="1"/>
    <col min="11" max="16384" width="9.140625" style="14"/>
  </cols>
  <sheetData>
    <row r="1" spans="1:10" ht="22.5" customHeight="1">
      <c r="A1" s="7"/>
      <c r="B1" s="24"/>
      <c r="C1" s="8"/>
      <c r="D1" s="8"/>
      <c r="E1" s="11"/>
      <c r="F1" s="11"/>
      <c r="G1" s="11"/>
      <c r="H1" s="12"/>
      <c r="I1" s="13"/>
      <c r="J1" s="11"/>
    </row>
    <row r="2" spans="1:10" ht="22.5" customHeight="1">
      <c r="A2" s="7"/>
      <c r="B2" s="24"/>
      <c r="C2" s="8"/>
      <c r="D2" s="8"/>
      <c r="E2" s="11"/>
      <c r="F2" s="11"/>
      <c r="G2" s="11"/>
      <c r="H2" s="12"/>
      <c r="I2" s="13"/>
      <c r="J2" s="11"/>
    </row>
    <row r="3" spans="1:10" ht="22.5" customHeight="1">
      <c r="A3" s="7"/>
      <c r="B3" s="24"/>
      <c r="C3" s="8"/>
      <c r="D3" s="8"/>
      <c r="E3" s="11"/>
      <c r="F3" s="11"/>
      <c r="G3" s="11"/>
      <c r="H3" s="12"/>
      <c r="I3" s="13"/>
      <c r="J3" s="11"/>
    </row>
    <row r="4" spans="1:10" ht="22.5" customHeight="1">
      <c r="A4" s="240" t="s">
        <v>309</v>
      </c>
      <c r="B4" s="24"/>
      <c r="C4" s="8"/>
      <c r="D4" s="8"/>
      <c r="E4" s="11"/>
      <c r="F4" s="11"/>
      <c r="G4" s="11"/>
      <c r="H4" s="12"/>
      <c r="I4" s="13"/>
      <c r="J4" s="11"/>
    </row>
    <row r="5" spans="1:10" ht="22.5" customHeight="1">
      <c r="A5" s="7"/>
      <c r="B5" s="24"/>
      <c r="C5" s="8"/>
      <c r="D5" s="8"/>
      <c r="E5" s="11"/>
      <c r="F5" s="11"/>
      <c r="G5" s="11"/>
      <c r="H5" s="12"/>
      <c r="I5" s="13"/>
      <c r="J5" s="11"/>
    </row>
    <row r="6" spans="1:10" ht="22.5" customHeight="1">
      <c r="A6" s="7"/>
      <c r="B6" s="24"/>
      <c r="C6" s="8"/>
      <c r="D6" s="8"/>
      <c r="E6" s="11"/>
      <c r="F6" s="11"/>
      <c r="G6" s="11"/>
      <c r="H6" s="12"/>
      <c r="I6" s="13" t="str">
        <f>'MOBILIZAÇÃO-CPU '!$H$5</f>
        <v>Cruzeiro do Sul/RS, janeiro de 2022</v>
      </c>
      <c r="J6" s="11"/>
    </row>
    <row r="7" spans="1:10" ht="22.5" customHeight="1">
      <c r="A7" s="7"/>
      <c r="B7" s="24"/>
      <c r="C7" s="8"/>
      <c r="D7" s="8"/>
      <c r="E7" s="11"/>
      <c r="F7" s="11"/>
      <c r="G7" s="11"/>
      <c r="H7" s="12"/>
      <c r="I7" s="13"/>
      <c r="J7" s="11"/>
    </row>
    <row r="8" spans="1:10" ht="22.5" customHeight="1">
      <c r="A8" s="7" t="str">
        <f>'MOBILIZAÇÃO-CPU '!A6</f>
        <v>CRUZEIRO DO SUL/RS - RS</v>
      </c>
      <c r="B8" s="24"/>
      <c r="C8" s="8"/>
      <c r="D8" s="8"/>
      <c r="E8" s="11"/>
      <c r="F8" s="11"/>
      <c r="G8" s="11"/>
      <c r="H8" s="12"/>
      <c r="I8" s="13"/>
      <c r="J8" s="11"/>
    </row>
    <row r="9" spans="1:10" ht="22.5" customHeight="1">
      <c r="A9" s="7" t="str">
        <f>'MOBILIZAÇÃO-CPU '!A7</f>
        <v>RODOVIA RS 130</v>
      </c>
      <c r="B9" s="24"/>
      <c r="C9" s="8"/>
      <c r="D9" s="8"/>
      <c r="E9" s="11"/>
      <c r="F9" s="11"/>
      <c r="G9" s="11"/>
      <c r="H9" s="12"/>
      <c r="I9" s="13"/>
      <c r="J9" s="11"/>
    </row>
    <row r="10" spans="1:10" ht="22.5" customHeight="1">
      <c r="A10" s="7"/>
      <c r="B10" s="24"/>
      <c r="C10" s="8"/>
      <c r="D10" s="8"/>
      <c r="E10" s="11"/>
      <c r="F10" s="11"/>
      <c r="G10" s="11"/>
      <c r="H10" s="12"/>
      <c r="I10" s="13"/>
      <c r="J10" s="11"/>
    </row>
    <row r="11" spans="1:10" ht="22.5" customHeight="1">
      <c r="A11" s="7"/>
      <c r="B11" s="24"/>
      <c r="C11" s="8"/>
      <c r="D11" s="8"/>
      <c r="E11" s="11"/>
      <c r="F11" s="11"/>
      <c r="G11" s="11"/>
      <c r="H11" s="12"/>
      <c r="I11" s="13"/>
      <c r="J11" s="11"/>
    </row>
    <row r="12" spans="1:10" ht="22.5" customHeight="1">
      <c r="B12" s="145"/>
      <c r="C12" s="146"/>
      <c r="D12" s="146"/>
      <c r="E12" s="123"/>
      <c r="F12" s="123"/>
      <c r="G12" s="123"/>
      <c r="H12" s="125"/>
      <c r="I12" s="143"/>
      <c r="J12" s="123"/>
    </row>
    <row r="13" spans="1:10">
      <c r="A13" s="435" t="s">
        <v>131</v>
      </c>
      <c r="B13" s="435"/>
      <c r="C13" s="435"/>
      <c r="D13" s="435"/>
      <c r="E13" s="435"/>
      <c r="F13" s="435"/>
      <c r="G13" s="435"/>
      <c r="H13" s="435"/>
      <c r="I13" s="435"/>
      <c r="J13" s="435"/>
    </row>
    <row r="14" spans="1:10" ht="15">
      <c r="A14" s="122"/>
      <c r="B14" s="144"/>
      <c r="C14" s="122"/>
      <c r="D14" s="122"/>
      <c r="E14" s="122"/>
      <c r="F14" s="122"/>
      <c r="G14" s="122"/>
      <c r="H14" s="122"/>
      <c r="I14" s="122"/>
      <c r="J14" s="122"/>
    </row>
    <row r="15" spans="1:10">
      <c r="A15" s="122"/>
      <c r="B15" s="122"/>
      <c r="C15" s="122"/>
      <c r="D15" s="122"/>
      <c r="E15" s="122"/>
      <c r="F15" s="122"/>
      <c r="G15" s="122"/>
      <c r="H15" s="122"/>
      <c r="I15" s="122"/>
      <c r="J15" s="122"/>
    </row>
    <row r="16" spans="1:10" ht="15">
      <c r="A16" s="141"/>
      <c r="B16" s="142"/>
      <c r="C16" s="123"/>
      <c r="D16" s="147"/>
      <c r="E16" s="123"/>
      <c r="F16" s="123"/>
      <c r="G16" s="123"/>
      <c r="H16" s="123"/>
      <c r="I16" s="125"/>
      <c r="J16" s="143"/>
    </row>
    <row r="17" spans="1:10" ht="11.25" customHeight="1">
      <c r="A17" s="141"/>
      <c r="B17" s="142"/>
      <c r="C17" s="123"/>
      <c r="D17" s="147"/>
      <c r="E17" s="123"/>
      <c r="F17" s="123"/>
      <c r="G17" s="123"/>
      <c r="H17" s="123"/>
      <c r="I17" s="125"/>
      <c r="J17" s="143"/>
    </row>
    <row r="18" spans="1:10" s="17" customFormat="1" ht="31.5" customHeight="1">
      <c r="A18" s="436" t="s">
        <v>6</v>
      </c>
      <c r="B18" s="436" t="s">
        <v>96</v>
      </c>
      <c r="C18" s="436" t="s">
        <v>7</v>
      </c>
      <c r="D18" s="437" t="s">
        <v>132</v>
      </c>
      <c r="E18" s="437" t="s">
        <v>133</v>
      </c>
      <c r="F18" s="436" t="s">
        <v>98</v>
      </c>
      <c r="G18" s="436"/>
      <c r="H18" s="437" t="s">
        <v>134</v>
      </c>
      <c r="I18" s="437" t="s">
        <v>135</v>
      </c>
      <c r="J18" s="439" t="s">
        <v>101</v>
      </c>
    </row>
    <row r="19" spans="1:10" s="18" customFormat="1" ht="31.5" customHeight="1">
      <c r="A19" s="436"/>
      <c r="B19" s="436"/>
      <c r="C19" s="436"/>
      <c r="D19" s="437"/>
      <c r="E19" s="437"/>
      <c r="F19" s="129" t="s">
        <v>102</v>
      </c>
      <c r="G19" s="130" t="s">
        <v>103</v>
      </c>
      <c r="H19" s="437"/>
      <c r="I19" s="437"/>
      <c r="J19" s="439"/>
    </row>
    <row r="20" spans="1:10" ht="17.25" customHeight="1">
      <c r="A20" s="131">
        <v>1</v>
      </c>
      <c r="B20" s="132" t="s">
        <v>136</v>
      </c>
      <c r="C20" s="131"/>
      <c r="D20" s="131"/>
      <c r="E20" s="131"/>
      <c r="F20" s="131"/>
      <c r="G20" s="131"/>
      <c r="H20" s="131"/>
      <c r="I20" s="133"/>
      <c r="J20" s="134"/>
    </row>
    <row r="21" spans="1:10" ht="17.25" customHeight="1">
      <c r="A21" s="131" t="s">
        <v>8</v>
      </c>
      <c r="B21" s="132" t="s">
        <v>137</v>
      </c>
      <c r="C21" s="131">
        <v>1</v>
      </c>
      <c r="D21" s="148">
        <f>TRUNC(4*2*4,2)</f>
        <v>32</v>
      </c>
      <c r="E21" s="135"/>
      <c r="F21" s="131" t="s">
        <v>138</v>
      </c>
      <c r="G21" s="131">
        <v>2707</v>
      </c>
      <c r="H21" s="137">
        <v>105.1</v>
      </c>
      <c r="I21" s="136"/>
      <c r="J21" s="137">
        <f>H21*D21</f>
        <v>3363.2</v>
      </c>
    </row>
    <row r="22" spans="1:10" ht="17.25" customHeight="1">
      <c r="A22" s="131" t="s">
        <v>9</v>
      </c>
      <c r="B22" s="132" t="s">
        <v>139</v>
      </c>
      <c r="C22" s="131">
        <v>1</v>
      </c>
      <c r="D22" s="148">
        <f>TRUNC(4*4*8,2)</f>
        <v>128</v>
      </c>
      <c r="E22" s="131"/>
      <c r="F22" s="131" t="s">
        <v>138</v>
      </c>
      <c r="G22" s="131">
        <v>4083</v>
      </c>
      <c r="H22" s="137">
        <v>42.28</v>
      </c>
      <c r="I22" s="136"/>
      <c r="J22" s="137">
        <f>H22*D22</f>
        <v>5411.84</v>
      </c>
    </row>
    <row r="23" spans="1:10" ht="17.25" customHeight="1">
      <c r="A23" s="131"/>
      <c r="B23" s="132"/>
      <c r="C23" s="131"/>
      <c r="D23" s="131"/>
      <c r="E23" s="131"/>
      <c r="F23" s="131"/>
      <c r="G23" s="131"/>
      <c r="H23" s="131"/>
      <c r="I23" s="133" t="s">
        <v>19</v>
      </c>
      <c r="J23" s="134">
        <f>SUM(J21:J22)</f>
        <v>8775.0400000000009</v>
      </c>
    </row>
    <row r="24" spans="1:10" ht="17.25" customHeight="1">
      <c r="A24" s="131"/>
      <c r="B24" s="132"/>
      <c r="C24" s="131"/>
      <c r="D24" s="131"/>
      <c r="E24" s="131"/>
      <c r="F24" s="131"/>
      <c r="G24" s="131"/>
      <c r="H24" s="138"/>
      <c r="I24" s="133" t="s">
        <v>392</v>
      </c>
      <c r="J24" s="134">
        <f>ROUND(J23*0.2423,2)</f>
        <v>2126.19</v>
      </c>
    </row>
    <row r="25" spans="1:10" ht="17.25" customHeight="1">
      <c r="A25" s="250" t="s">
        <v>346</v>
      </c>
      <c r="B25" s="132"/>
      <c r="C25" s="131"/>
      <c r="D25" s="131"/>
      <c r="E25" s="131"/>
      <c r="F25" s="131"/>
      <c r="G25" s="131"/>
      <c r="H25" s="131"/>
      <c r="I25" s="139" t="s">
        <v>50</v>
      </c>
      <c r="J25" s="140">
        <f>J23+J24</f>
        <v>10901.230000000001</v>
      </c>
    </row>
    <row r="26" spans="1:10" ht="15">
      <c r="A26" s="149"/>
      <c r="B26" s="150"/>
      <c r="C26" s="151"/>
      <c r="D26" s="152"/>
      <c r="E26" s="151"/>
      <c r="F26" s="151"/>
      <c r="G26" s="151"/>
      <c r="H26" s="151"/>
      <c r="I26" s="153"/>
      <c r="J26" s="154"/>
    </row>
    <row r="27" spans="1:10">
      <c r="J27" s="22"/>
    </row>
    <row r="32" spans="1:10">
      <c r="C32" s="19"/>
      <c r="H32" s="201"/>
    </row>
    <row r="33" spans="3:8" ht="15">
      <c r="C33" s="200"/>
      <c r="H33" s="202"/>
    </row>
    <row r="34" spans="3:8" ht="15">
      <c r="C34" s="200"/>
      <c r="H34" s="202"/>
    </row>
    <row r="35" spans="3:8" ht="15">
      <c r="C35" s="200"/>
    </row>
  </sheetData>
  <mergeCells count="10">
    <mergeCell ref="A13:J13"/>
    <mergeCell ref="A18:A19"/>
    <mergeCell ref="B18:B19"/>
    <mergeCell ref="C18:C19"/>
    <mergeCell ref="D18:D19"/>
    <mergeCell ref="E18:E19"/>
    <mergeCell ref="F18:G18"/>
    <mergeCell ref="H18:H19"/>
    <mergeCell ref="I18:I19"/>
    <mergeCell ref="J18:J19"/>
  </mergeCells>
  <conditionalFormatting sqref="A21:J22">
    <cfRule type="expression" dxfId="11" priority="35" stopIfTrue="1">
      <formula>#REF!="***"</formula>
    </cfRule>
    <cfRule type="expression" dxfId="10" priority="36" stopIfTrue="1">
      <formula>INT(#REF!)-#REF!=0</formula>
    </cfRule>
  </conditionalFormatting>
  <conditionalFormatting sqref="A20:C20 E20:J20">
    <cfRule type="expression" dxfId="9" priority="31" stopIfTrue="1">
      <formula>#REF!="***"</formula>
    </cfRule>
    <cfRule type="expression" dxfId="8" priority="32" stopIfTrue="1">
      <formula>INT(#REF!)-#REF!=0</formula>
    </cfRule>
  </conditionalFormatting>
  <conditionalFormatting sqref="A23:C24 D23:J25">
    <cfRule type="expression" dxfId="7" priority="29" stopIfTrue="1">
      <formula>#REF!="***"</formula>
    </cfRule>
    <cfRule type="expression" dxfId="6" priority="30" stopIfTrue="1">
      <formula>INT(#REF!)-#REF!=0</formula>
    </cfRule>
  </conditionalFormatting>
  <conditionalFormatting sqref="B25:C25">
    <cfRule type="expression" dxfId="5" priority="25" stopIfTrue="1">
      <formula>#REF!="***"</formula>
    </cfRule>
    <cfRule type="expression" dxfId="4" priority="26" stopIfTrue="1">
      <formula>INT(#REF!)-#REF!=0</formula>
    </cfRule>
  </conditionalFormatting>
  <conditionalFormatting sqref="D20">
    <cfRule type="expression" dxfId="3" priority="19" stopIfTrue="1">
      <formula>#REF!="***"</formula>
    </cfRule>
    <cfRule type="expression" dxfId="2" priority="20" stopIfTrue="1">
      <formula>INT(#REF!)-#REF!=0</formula>
    </cfRule>
  </conditionalFormatting>
  <conditionalFormatting sqref="A25">
    <cfRule type="expression" dxfId="1" priority="1" stopIfTrue="1">
      <formula>#REF!="***"</formula>
    </cfRule>
    <cfRule type="expression" dxfId="0" priority="2" stopIfTrue="1">
      <formula>INT(#REF!)-#REF!=0</formula>
    </cfRule>
  </conditionalFormatting>
  <dataValidations count="1">
    <dataValidation type="textLength" errorStyle="warning" allowBlank="1" showInputMessage="1" showErrorMessage="1" errorTitle="ATENÇÃO" error="Esta célula contém fórmula. _x000a_Clique em CANCELAR e digite o código. _x000a_Para um item sem código clique em SIM. " sqref="J23:J25 A20:B25 D20:E25">
      <formula1>0</formula1>
      <formula2>0</formula2>
    </dataValidation>
  </dataValidations>
  <pageMargins left="0.78740157480314965" right="0.39370078740157483" top="0.78740157480314965" bottom="0.78740157480314965" header="0.39370078740157483" footer="0.39370078740157483"/>
  <pageSetup paperSize="8" scale="71" firstPageNumber="6" fitToHeight="0" orientation="portrait" useFirstPageNumber="1" r:id="rId1"/>
  <headerFooter alignWithMargins="0">
    <oddFooter xml:space="preserve">&amp;C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51"/>
  <sheetViews>
    <sheetView view="pageBreakPreview" topLeftCell="A88" zoomScale="70" zoomScaleNormal="100" zoomScaleSheetLayoutView="70" workbookViewId="0">
      <selection activeCell="F77" sqref="F77"/>
    </sheetView>
  </sheetViews>
  <sheetFormatPr defaultRowHeight="12.75"/>
  <cols>
    <col min="1" max="1" width="21" customWidth="1"/>
    <col min="2" max="2" width="16.42578125" customWidth="1"/>
    <col min="3" max="3" width="16" bestFit="1" customWidth="1"/>
    <col min="4" max="4" width="193.5703125" customWidth="1"/>
    <col min="5" max="5" width="11.5703125" bestFit="1" customWidth="1"/>
    <col min="6" max="6" width="16.5703125" bestFit="1" customWidth="1"/>
    <col min="7" max="7" width="20.42578125" bestFit="1" customWidth="1"/>
    <col min="8" max="8" width="14.5703125" customWidth="1"/>
  </cols>
  <sheetData>
    <row r="1" spans="1:16" ht="15">
      <c r="A1" s="440" t="str">
        <f>ORÇAMENTO!I2</f>
        <v>Cruzeiro do Sul/RS, janeiro de 2022</v>
      </c>
      <c r="B1" s="440"/>
      <c r="C1" s="440"/>
      <c r="D1" s="440"/>
      <c r="E1" s="440"/>
      <c r="F1" s="440"/>
      <c r="G1" s="440"/>
      <c r="H1" s="440"/>
    </row>
    <row r="3" spans="1:16" ht="20.25">
      <c r="A3" s="446" t="s">
        <v>211</v>
      </c>
      <c r="B3" s="446"/>
      <c r="C3" s="446"/>
      <c r="D3" s="446"/>
      <c r="E3" s="446"/>
      <c r="F3" s="446"/>
      <c r="G3" s="446"/>
      <c r="H3" s="446"/>
    </row>
    <row r="4" spans="1:16" ht="15">
      <c r="A4" s="209"/>
      <c r="B4" s="209"/>
      <c r="C4" s="209"/>
      <c r="D4" s="209"/>
      <c r="E4" s="209"/>
      <c r="F4" s="209"/>
      <c r="G4" s="209"/>
      <c r="H4" s="209"/>
    </row>
    <row r="5" spans="1:16" ht="14.25">
      <c r="A5" s="236" t="s">
        <v>225</v>
      </c>
      <c r="B5" s="237"/>
      <c r="C5" s="237"/>
      <c r="D5" s="237" t="s">
        <v>341</v>
      </c>
      <c r="E5" s="237"/>
      <c r="F5" s="237"/>
      <c r="G5" s="237"/>
      <c r="H5" s="238" t="s">
        <v>174</v>
      </c>
      <c r="P5" s="248"/>
    </row>
    <row r="6" spans="1:16" ht="15">
      <c r="A6" s="239" t="s">
        <v>178</v>
      </c>
      <c r="B6" s="239" t="s">
        <v>173</v>
      </c>
      <c r="C6" s="239" t="s">
        <v>103</v>
      </c>
      <c r="D6" s="239" t="s">
        <v>96</v>
      </c>
      <c r="E6" s="239" t="s">
        <v>174</v>
      </c>
      <c r="F6" s="239" t="s">
        <v>175</v>
      </c>
      <c r="G6" s="239" t="s">
        <v>177</v>
      </c>
      <c r="H6" s="239" t="s">
        <v>176</v>
      </c>
      <c r="P6" s="248"/>
    </row>
    <row r="7" spans="1:16" ht="15">
      <c r="A7" s="206">
        <v>1</v>
      </c>
      <c r="B7" s="206" t="s">
        <v>138</v>
      </c>
      <c r="C7" s="206">
        <v>34723</v>
      </c>
      <c r="D7" s="206" t="s">
        <v>315</v>
      </c>
      <c r="E7" s="210" t="s">
        <v>314</v>
      </c>
      <c r="F7" s="210">
        <v>2.88</v>
      </c>
      <c r="G7" s="307">
        <v>519.75</v>
      </c>
      <c r="H7" s="211">
        <f t="shared" ref="H7:H9" si="0">ROUND(F7*G7,2)</f>
        <v>1496.88</v>
      </c>
      <c r="I7" s="241"/>
      <c r="P7" s="246"/>
    </row>
    <row r="8" spans="1:16" ht="15">
      <c r="A8" s="206">
        <v>2</v>
      </c>
      <c r="B8" s="206" t="s">
        <v>138</v>
      </c>
      <c r="C8" s="206">
        <v>21014</v>
      </c>
      <c r="D8" s="206" t="s">
        <v>316</v>
      </c>
      <c r="E8" s="210" t="s">
        <v>313</v>
      </c>
      <c r="F8" s="210">
        <v>5</v>
      </c>
      <c r="G8" s="307">
        <v>140.66</v>
      </c>
      <c r="H8" s="211">
        <f t="shared" si="0"/>
        <v>703.3</v>
      </c>
      <c r="P8" s="246"/>
    </row>
    <row r="9" spans="1:16" ht="15">
      <c r="A9" s="206">
        <v>3</v>
      </c>
      <c r="B9" s="206" t="s">
        <v>138</v>
      </c>
      <c r="C9" s="206">
        <v>88316</v>
      </c>
      <c r="D9" s="206" t="s">
        <v>194</v>
      </c>
      <c r="E9" s="210" t="s">
        <v>79</v>
      </c>
      <c r="F9" s="210">
        <v>2</v>
      </c>
      <c r="G9" s="307">
        <v>17.760000000000002</v>
      </c>
      <c r="H9" s="211">
        <f t="shared" si="0"/>
        <v>35.520000000000003</v>
      </c>
      <c r="P9" s="246"/>
    </row>
    <row r="10" spans="1:16" ht="15">
      <c r="A10" s="206"/>
      <c r="B10" s="206"/>
      <c r="C10" s="247"/>
      <c r="D10" s="206"/>
      <c r="E10" s="210"/>
      <c r="F10" s="249"/>
      <c r="G10" s="211"/>
      <c r="H10" s="211"/>
      <c r="P10" s="246"/>
    </row>
    <row r="11" spans="1:16" ht="15">
      <c r="A11" s="205"/>
      <c r="B11" s="203"/>
      <c r="C11" s="203"/>
      <c r="D11" s="203"/>
      <c r="E11" s="203"/>
      <c r="F11" s="203"/>
      <c r="G11" s="203"/>
      <c r="H11" s="204"/>
      <c r="P11" s="248"/>
    </row>
    <row r="12" spans="1:16" ht="15">
      <c r="A12" s="233"/>
      <c r="B12" s="234"/>
      <c r="C12" s="234"/>
      <c r="D12" s="234"/>
      <c r="E12" s="234"/>
      <c r="F12" s="234" t="s">
        <v>201</v>
      </c>
      <c r="G12" s="251"/>
      <c r="H12" s="235">
        <f>SUM(H7:H11)</f>
        <v>2235.7000000000003</v>
      </c>
      <c r="P12" s="248"/>
    </row>
    <row r="13" spans="1:16" ht="15">
      <c r="A13" s="205" t="s">
        <v>180</v>
      </c>
      <c r="B13" s="441"/>
      <c r="C13" s="442"/>
      <c r="D13" s="442"/>
      <c r="E13" s="443"/>
      <c r="F13" s="219" t="s">
        <v>179</v>
      </c>
      <c r="G13" s="229">
        <v>0.24229999999999999</v>
      </c>
      <c r="H13" s="220">
        <f>ROUND(H12*G13,2)</f>
        <v>541.71</v>
      </c>
      <c r="P13" s="248"/>
    </row>
    <row r="14" spans="1:16" ht="15">
      <c r="A14" s="205"/>
      <c r="B14" s="444"/>
      <c r="C14" s="444"/>
      <c r="D14" s="444"/>
      <c r="E14" s="445"/>
      <c r="F14" s="219"/>
      <c r="G14" s="229"/>
      <c r="H14" s="220"/>
      <c r="P14" s="248"/>
    </row>
    <row r="15" spans="1:16" ht="15">
      <c r="A15" s="207"/>
      <c r="B15" s="253"/>
      <c r="C15" s="253"/>
      <c r="D15" s="253"/>
      <c r="E15" s="253"/>
      <c r="F15" s="230" t="s">
        <v>167</v>
      </c>
      <c r="G15" s="231"/>
      <c r="H15" s="232">
        <f>H12+H13</f>
        <v>2777.4100000000003</v>
      </c>
      <c r="P15" s="248"/>
    </row>
    <row r="16" spans="1:16" ht="15">
      <c r="A16" s="209"/>
      <c r="B16" s="209"/>
      <c r="C16" s="209"/>
      <c r="D16" s="209"/>
      <c r="E16" s="209"/>
      <c r="F16" s="209"/>
      <c r="G16" s="209"/>
      <c r="H16" s="209"/>
      <c r="P16" s="248"/>
    </row>
    <row r="17" spans="1:16" ht="15">
      <c r="A17" s="209"/>
      <c r="B17" s="209"/>
      <c r="C17" s="209"/>
      <c r="D17" s="209"/>
      <c r="E17" s="209"/>
      <c r="F17" s="209"/>
      <c r="G17" s="209"/>
      <c r="H17" s="209"/>
    </row>
    <row r="18" spans="1:16" ht="14.25">
      <c r="A18" s="236" t="s">
        <v>224</v>
      </c>
      <c r="B18" s="237"/>
      <c r="C18" s="237"/>
      <c r="D18" s="237" t="s">
        <v>323</v>
      </c>
      <c r="E18" s="237"/>
      <c r="F18" s="237"/>
      <c r="G18" s="237"/>
      <c r="H18" s="238" t="s">
        <v>314</v>
      </c>
      <c r="P18" s="248"/>
    </row>
    <row r="19" spans="1:16" ht="15">
      <c r="A19" s="239" t="s">
        <v>178</v>
      </c>
      <c r="B19" s="239" t="s">
        <v>173</v>
      </c>
      <c r="C19" s="239" t="s">
        <v>103</v>
      </c>
      <c r="D19" s="239" t="s">
        <v>96</v>
      </c>
      <c r="E19" s="239" t="s">
        <v>174</v>
      </c>
      <c r="F19" s="239" t="s">
        <v>175</v>
      </c>
      <c r="G19" s="239" t="s">
        <v>177</v>
      </c>
      <c r="H19" s="239" t="s">
        <v>176</v>
      </c>
      <c r="P19" s="248"/>
    </row>
    <row r="20" spans="1:16" ht="15">
      <c r="A20" s="206">
        <v>1</v>
      </c>
      <c r="B20" s="206" t="s">
        <v>138</v>
      </c>
      <c r="C20" s="206">
        <v>4460</v>
      </c>
      <c r="D20" s="206" t="s">
        <v>318</v>
      </c>
      <c r="E20" s="210" t="s">
        <v>313</v>
      </c>
      <c r="F20" s="210">
        <v>2.8800000000000002E-3</v>
      </c>
      <c r="G20" s="307">
        <v>5.61</v>
      </c>
      <c r="H20" s="211">
        <f t="shared" ref="H20:H23" si="1">ROUND(F20*G20,2)</f>
        <v>0.02</v>
      </c>
      <c r="I20" s="241"/>
      <c r="P20" s="246"/>
    </row>
    <row r="21" spans="1:16" ht="15">
      <c r="A21" s="206">
        <v>2</v>
      </c>
      <c r="B21" s="206" t="s">
        <v>138</v>
      </c>
      <c r="C21" s="206">
        <v>90781</v>
      </c>
      <c r="D21" s="206" t="s">
        <v>319</v>
      </c>
      <c r="E21" s="210" t="s">
        <v>79</v>
      </c>
      <c r="F21" s="210">
        <v>7.4999999999999997E-3</v>
      </c>
      <c r="G21" s="307">
        <v>31.8</v>
      </c>
      <c r="H21" s="211">
        <f t="shared" si="1"/>
        <v>0.24</v>
      </c>
      <c r="P21" s="246"/>
    </row>
    <row r="22" spans="1:16" ht="15">
      <c r="A22" s="206">
        <v>3</v>
      </c>
      <c r="B22" s="206" t="s">
        <v>138</v>
      </c>
      <c r="C22" s="206">
        <v>88253</v>
      </c>
      <c r="D22" s="206" t="s">
        <v>320</v>
      </c>
      <c r="E22" s="210" t="s">
        <v>79</v>
      </c>
      <c r="F22" s="210">
        <v>2.5000000000000001E-3</v>
      </c>
      <c r="G22" s="307">
        <v>13.69</v>
      </c>
      <c r="H22" s="211">
        <f t="shared" si="1"/>
        <v>0.03</v>
      </c>
      <c r="P22" s="246"/>
    </row>
    <row r="23" spans="1:16" ht="15">
      <c r="A23" s="206">
        <v>4</v>
      </c>
      <c r="B23" s="206" t="s">
        <v>138</v>
      </c>
      <c r="C23" s="206">
        <v>88288</v>
      </c>
      <c r="D23" s="206" t="s">
        <v>322</v>
      </c>
      <c r="E23" s="210" t="s">
        <v>79</v>
      </c>
      <c r="F23" s="210">
        <v>2.5000000000000001E-3</v>
      </c>
      <c r="G23" s="307">
        <v>16.940000000000001</v>
      </c>
      <c r="H23" s="211">
        <f t="shared" si="1"/>
        <v>0.04</v>
      </c>
      <c r="I23" s="241"/>
      <c r="P23" s="246"/>
    </row>
    <row r="24" spans="1:16" ht="15">
      <c r="A24" s="206">
        <v>5</v>
      </c>
      <c r="B24" s="206" t="s">
        <v>138</v>
      </c>
      <c r="C24" s="206">
        <v>88316</v>
      </c>
      <c r="D24" s="206" t="s">
        <v>194</v>
      </c>
      <c r="E24" s="210" t="s">
        <v>79</v>
      </c>
      <c r="F24" s="210">
        <v>7.4999999999999997E-3</v>
      </c>
      <c r="G24" s="307">
        <v>17.760000000000002</v>
      </c>
      <c r="H24" s="211">
        <f t="shared" ref="H24:H25" si="2">ROUND(F24*G24,2)</f>
        <v>0.13</v>
      </c>
      <c r="P24" s="246"/>
    </row>
    <row r="25" spans="1:16" ht="15">
      <c r="A25" s="206">
        <v>6</v>
      </c>
      <c r="B25" s="206" t="s">
        <v>138</v>
      </c>
      <c r="C25" s="206">
        <v>92145</v>
      </c>
      <c r="D25" s="206" t="s">
        <v>321</v>
      </c>
      <c r="E25" s="210" t="s">
        <v>77</v>
      </c>
      <c r="F25" s="210">
        <v>1E-3</v>
      </c>
      <c r="G25" s="307">
        <v>69.66</v>
      </c>
      <c r="H25" s="211">
        <f t="shared" si="2"/>
        <v>7.0000000000000007E-2</v>
      </c>
      <c r="P25" s="246"/>
    </row>
    <row r="26" spans="1:16" ht="15">
      <c r="A26" s="206"/>
      <c r="B26" s="206"/>
      <c r="C26" s="247"/>
      <c r="D26" s="206"/>
      <c r="E26" s="210"/>
      <c r="F26" s="249"/>
      <c r="G26" s="211"/>
      <c r="H26" s="211"/>
      <c r="P26" s="246"/>
    </row>
    <row r="27" spans="1:16" ht="15">
      <c r="A27" s="205"/>
      <c r="B27" s="203"/>
      <c r="C27" s="203"/>
      <c r="D27" s="203"/>
      <c r="E27" s="203"/>
      <c r="F27" s="203"/>
      <c r="G27" s="203"/>
      <c r="H27" s="204"/>
      <c r="P27" s="248"/>
    </row>
    <row r="28" spans="1:16" ht="15">
      <c r="A28" s="233"/>
      <c r="B28" s="234"/>
      <c r="C28" s="234"/>
      <c r="D28" s="234"/>
      <c r="E28" s="234"/>
      <c r="F28" s="234" t="s">
        <v>201</v>
      </c>
      <c r="G28" s="251"/>
      <c r="H28" s="235">
        <f>SUM(H20:H27)</f>
        <v>0.53</v>
      </c>
      <c r="P28" s="248"/>
    </row>
    <row r="29" spans="1:16" ht="15">
      <c r="A29" s="205" t="s">
        <v>180</v>
      </c>
      <c r="B29" s="441"/>
      <c r="C29" s="442"/>
      <c r="D29" s="442"/>
      <c r="E29" s="443"/>
      <c r="F29" s="219" t="s">
        <v>179</v>
      </c>
      <c r="G29" s="229">
        <v>0.24229999999999999</v>
      </c>
      <c r="H29" s="220">
        <f>ROUND(H28*G29,2)</f>
        <v>0.13</v>
      </c>
      <c r="P29" s="248"/>
    </row>
    <row r="30" spans="1:16" ht="15">
      <c r="A30" s="205"/>
      <c r="B30" s="444"/>
      <c r="C30" s="444"/>
      <c r="D30" s="444"/>
      <c r="E30" s="445"/>
      <c r="F30" s="219"/>
      <c r="G30" s="229"/>
      <c r="H30" s="220"/>
      <c r="P30" s="248"/>
    </row>
    <row r="31" spans="1:16" ht="15">
      <c r="A31" s="207"/>
      <c r="B31" s="253"/>
      <c r="C31" s="253"/>
      <c r="D31" s="253"/>
      <c r="E31" s="253"/>
      <c r="F31" s="230" t="s">
        <v>167</v>
      </c>
      <c r="G31" s="231"/>
      <c r="H31" s="232">
        <f>H28+H29</f>
        <v>0.66</v>
      </c>
      <c r="P31" s="248"/>
    </row>
    <row r="32" spans="1:16" ht="15">
      <c r="A32" s="209"/>
      <c r="B32" s="209"/>
      <c r="C32" s="209"/>
      <c r="D32" s="209"/>
      <c r="E32" s="209"/>
      <c r="F32" s="209"/>
      <c r="G32" s="209"/>
      <c r="H32" s="209"/>
      <c r="P32" s="248"/>
    </row>
    <row r="33" spans="1:16" ht="15">
      <c r="A33" s="209"/>
      <c r="B33" s="209"/>
      <c r="C33" s="209"/>
      <c r="D33" s="209"/>
      <c r="E33" s="209"/>
      <c r="F33" s="209"/>
      <c r="G33" s="209"/>
      <c r="H33" s="209"/>
    </row>
    <row r="34" spans="1:16" ht="14.25">
      <c r="A34" s="236" t="s">
        <v>310</v>
      </c>
      <c r="B34" s="237"/>
      <c r="C34" s="237"/>
      <c r="D34" s="237" t="s">
        <v>226</v>
      </c>
      <c r="E34" s="237"/>
      <c r="F34" s="237"/>
      <c r="G34" s="237"/>
      <c r="H34" s="238" t="s">
        <v>314</v>
      </c>
      <c r="P34" s="248"/>
    </row>
    <row r="35" spans="1:16" ht="15">
      <c r="A35" s="239" t="s">
        <v>178</v>
      </c>
      <c r="B35" s="239" t="s">
        <v>173</v>
      </c>
      <c r="C35" s="239" t="s">
        <v>103</v>
      </c>
      <c r="D35" s="239" t="s">
        <v>96</v>
      </c>
      <c r="E35" s="239" t="s">
        <v>174</v>
      </c>
      <c r="F35" s="239" t="s">
        <v>175</v>
      </c>
      <c r="G35" s="239" t="s">
        <v>177</v>
      </c>
      <c r="H35" s="239" t="s">
        <v>176</v>
      </c>
      <c r="P35" s="248"/>
    </row>
    <row r="36" spans="1:16" ht="15">
      <c r="A36" s="206">
        <v>1</v>
      </c>
      <c r="B36" s="206" t="s">
        <v>138</v>
      </c>
      <c r="C36" s="206">
        <v>5839</v>
      </c>
      <c r="D36" s="206" t="s">
        <v>82</v>
      </c>
      <c r="E36" s="210" t="s">
        <v>77</v>
      </c>
      <c r="F36" s="210">
        <v>1.6999999999999999E-3</v>
      </c>
      <c r="G36" s="307">
        <v>9.35</v>
      </c>
      <c r="H36" s="211">
        <f t="shared" ref="H36:H44" si="3">ROUND(F36*G36,2)</f>
        <v>0.02</v>
      </c>
      <c r="I36" s="241"/>
      <c r="P36" s="246"/>
    </row>
    <row r="37" spans="1:16" ht="15">
      <c r="A37" s="206">
        <v>2</v>
      </c>
      <c r="B37" s="206" t="s">
        <v>138</v>
      </c>
      <c r="C37" s="206">
        <v>41901</v>
      </c>
      <c r="D37" s="206" t="s">
        <v>204</v>
      </c>
      <c r="E37" s="210" t="s">
        <v>83</v>
      </c>
      <c r="F37" s="210">
        <v>1.2</v>
      </c>
      <c r="G37" s="307">
        <f>ROUND(5.45*(1+0.0165+0.076),2)</f>
        <v>5.95</v>
      </c>
      <c r="H37" s="211">
        <f t="shared" si="3"/>
        <v>7.14</v>
      </c>
      <c r="P37" s="246"/>
    </row>
    <row r="38" spans="1:16" ht="15">
      <c r="A38" s="206">
        <v>3</v>
      </c>
      <c r="B38" s="206" t="s">
        <v>138</v>
      </c>
      <c r="C38" s="206">
        <v>83362</v>
      </c>
      <c r="D38" s="206" t="s">
        <v>195</v>
      </c>
      <c r="E38" s="210" t="s">
        <v>80</v>
      </c>
      <c r="F38" s="210">
        <v>1E-3</v>
      </c>
      <c r="G38" s="307">
        <v>224.37</v>
      </c>
      <c r="H38" s="211">
        <f t="shared" si="3"/>
        <v>0.22</v>
      </c>
      <c r="P38" s="246"/>
    </row>
    <row r="39" spans="1:16" ht="15">
      <c r="A39" s="206">
        <v>4</v>
      </c>
      <c r="B39" s="206" t="s">
        <v>138</v>
      </c>
      <c r="C39" s="206">
        <v>88316</v>
      </c>
      <c r="D39" s="206" t="s">
        <v>194</v>
      </c>
      <c r="E39" s="210" t="s">
        <v>79</v>
      </c>
      <c r="F39" s="210">
        <v>2E-3</v>
      </c>
      <c r="G39" s="307">
        <v>17.760000000000002</v>
      </c>
      <c r="H39" s="211">
        <f t="shared" si="3"/>
        <v>0.04</v>
      </c>
      <c r="P39" s="246"/>
    </row>
    <row r="40" spans="1:16" ht="15">
      <c r="A40" s="206">
        <v>5</v>
      </c>
      <c r="B40" s="206" t="s">
        <v>138</v>
      </c>
      <c r="C40" s="206">
        <v>89035</v>
      </c>
      <c r="D40" s="206" t="s">
        <v>147</v>
      </c>
      <c r="E40" s="210" t="s">
        <v>80</v>
      </c>
      <c r="F40" s="210">
        <v>1.6999999999999999E-3</v>
      </c>
      <c r="G40" s="307">
        <v>142.68</v>
      </c>
      <c r="H40" s="211">
        <f t="shared" si="3"/>
        <v>0.24</v>
      </c>
      <c r="P40" s="246"/>
    </row>
    <row r="41" spans="1:16" ht="15">
      <c r="A41" s="206">
        <v>6</v>
      </c>
      <c r="B41" s="206" t="s">
        <v>138</v>
      </c>
      <c r="C41" s="206">
        <v>89036</v>
      </c>
      <c r="D41" s="206" t="s">
        <v>196</v>
      </c>
      <c r="E41" s="210" t="s">
        <v>78</v>
      </c>
      <c r="F41" s="210">
        <v>1.4E-3</v>
      </c>
      <c r="G41" s="307">
        <v>40.880000000000003</v>
      </c>
      <c r="H41" s="211">
        <f t="shared" si="3"/>
        <v>0.06</v>
      </c>
      <c r="P41" s="246"/>
    </row>
    <row r="42" spans="1:16" ht="30">
      <c r="A42" s="206">
        <v>7</v>
      </c>
      <c r="B42" s="206" t="s">
        <v>138</v>
      </c>
      <c r="C42" s="206">
        <v>91486</v>
      </c>
      <c r="D42" s="281" t="s">
        <v>222</v>
      </c>
      <c r="E42" s="210" t="s">
        <v>78</v>
      </c>
      <c r="F42" s="210">
        <v>1E-3</v>
      </c>
      <c r="G42" s="307">
        <v>47.95</v>
      </c>
      <c r="H42" s="211">
        <f t="shared" si="3"/>
        <v>0.05</v>
      </c>
      <c r="P42" s="246"/>
    </row>
    <row r="43" spans="1:16" ht="15">
      <c r="A43" s="206">
        <v>8</v>
      </c>
      <c r="B43" s="206" t="s">
        <v>138</v>
      </c>
      <c r="C43" s="247">
        <v>102332</v>
      </c>
      <c r="D43" s="206" t="s">
        <v>221</v>
      </c>
      <c r="E43" s="210" t="s">
        <v>76</v>
      </c>
      <c r="F43" s="210">
        <f>ROUND(30*0.0012,2)</f>
        <v>0.04</v>
      </c>
      <c r="G43" s="307">
        <v>1.39</v>
      </c>
      <c r="H43" s="211">
        <f t="shared" ref="H43" si="4">ROUND(F43*G43,2)</f>
        <v>0.06</v>
      </c>
      <c r="P43" s="246"/>
    </row>
    <row r="44" spans="1:16" ht="15">
      <c r="A44" s="206">
        <v>9</v>
      </c>
      <c r="B44" s="206" t="s">
        <v>138</v>
      </c>
      <c r="C44" s="247">
        <v>102333</v>
      </c>
      <c r="D44" s="206" t="s">
        <v>220</v>
      </c>
      <c r="E44" s="210" t="s">
        <v>76</v>
      </c>
      <c r="F44" s="210">
        <f>ROUND(70*0.0012,2)</f>
        <v>0.08</v>
      </c>
      <c r="G44" s="307">
        <v>0.56000000000000005</v>
      </c>
      <c r="H44" s="211">
        <f t="shared" si="3"/>
        <v>0.04</v>
      </c>
      <c r="P44" s="246"/>
    </row>
    <row r="45" spans="1:16" ht="15">
      <c r="A45" s="206"/>
      <c r="B45" s="206"/>
      <c r="C45" s="247"/>
      <c r="D45" s="206"/>
      <c r="E45" s="210"/>
      <c r="F45" s="249"/>
      <c r="G45" s="211"/>
      <c r="H45" s="211"/>
      <c r="P45" s="246"/>
    </row>
    <row r="46" spans="1:16" ht="15">
      <c r="A46" s="205"/>
      <c r="B46" s="203"/>
      <c r="C46" s="203"/>
      <c r="D46" s="203"/>
      <c r="E46" s="203"/>
      <c r="F46" s="203"/>
      <c r="G46" s="203"/>
      <c r="H46" s="204"/>
      <c r="P46" s="248"/>
    </row>
    <row r="47" spans="1:16" ht="15">
      <c r="A47" s="233"/>
      <c r="B47" s="234"/>
      <c r="C47" s="234"/>
      <c r="D47" s="234"/>
      <c r="E47" s="234"/>
      <c r="F47" s="234" t="s">
        <v>201</v>
      </c>
      <c r="G47" s="251"/>
      <c r="H47" s="235">
        <f>SUM(H36:H46)</f>
        <v>7.8699999999999983</v>
      </c>
      <c r="P47" s="248"/>
    </row>
    <row r="48" spans="1:16" ht="15">
      <c r="A48" s="205" t="s">
        <v>180</v>
      </c>
      <c r="B48" s="441" t="s">
        <v>202</v>
      </c>
      <c r="C48" s="442"/>
      <c r="D48" s="442"/>
      <c r="E48" s="443"/>
      <c r="F48" s="219" t="s">
        <v>179</v>
      </c>
      <c r="G48" s="229">
        <v>0.24229999999999999</v>
      </c>
      <c r="H48" s="220">
        <f>ROUND(H47*G48,2)</f>
        <v>1.91</v>
      </c>
      <c r="P48" s="248"/>
    </row>
    <row r="49" spans="1:16" ht="15">
      <c r="A49" s="205"/>
      <c r="B49" s="444"/>
      <c r="C49" s="444"/>
      <c r="D49" s="444"/>
      <c r="E49" s="445"/>
      <c r="F49" s="219"/>
      <c r="G49" s="229"/>
      <c r="H49" s="220"/>
      <c r="P49" s="248"/>
    </row>
    <row r="50" spans="1:16" ht="15">
      <c r="A50" s="207"/>
      <c r="B50" s="253" t="s">
        <v>216</v>
      </c>
      <c r="C50" s="253"/>
      <c r="D50" s="253"/>
      <c r="E50" s="253"/>
      <c r="F50" s="230" t="s">
        <v>167</v>
      </c>
      <c r="G50" s="231"/>
      <c r="H50" s="232">
        <f>H47+H48</f>
        <v>9.7799999999999976</v>
      </c>
      <c r="P50" s="248"/>
    </row>
    <row r="51" spans="1:16" ht="15">
      <c r="A51" s="209"/>
      <c r="B51" s="209"/>
      <c r="C51" s="209"/>
      <c r="D51" s="209"/>
      <c r="E51" s="209"/>
      <c r="F51" s="209"/>
      <c r="G51" s="209"/>
      <c r="H51" s="209"/>
      <c r="P51" s="248"/>
    </row>
    <row r="52" spans="1:16" ht="15">
      <c r="A52" s="209"/>
      <c r="B52" s="209"/>
      <c r="C52" s="209"/>
      <c r="D52" s="209"/>
      <c r="E52" s="209"/>
      <c r="F52" s="209"/>
      <c r="G52" s="209"/>
      <c r="H52" s="209"/>
    </row>
    <row r="53" spans="1:16" ht="14.25">
      <c r="A53" s="236" t="s">
        <v>311</v>
      </c>
      <c r="B53" s="237"/>
      <c r="C53" s="237"/>
      <c r="D53" s="237" t="s">
        <v>215</v>
      </c>
      <c r="E53" s="237"/>
      <c r="F53" s="237"/>
      <c r="G53" s="237"/>
      <c r="H53" s="238" t="s">
        <v>314</v>
      </c>
      <c r="P53" s="248"/>
    </row>
    <row r="54" spans="1:16" ht="15">
      <c r="A54" s="239" t="s">
        <v>178</v>
      </c>
      <c r="B54" s="239" t="s">
        <v>173</v>
      </c>
      <c r="C54" s="239" t="s">
        <v>103</v>
      </c>
      <c r="D54" s="239" t="s">
        <v>96</v>
      </c>
      <c r="E54" s="239" t="s">
        <v>174</v>
      </c>
      <c r="F54" s="239" t="s">
        <v>175</v>
      </c>
      <c r="G54" s="239" t="s">
        <v>177</v>
      </c>
      <c r="H54" s="239" t="s">
        <v>176</v>
      </c>
      <c r="P54" s="248"/>
    </row>
    <row r="55" spans="1:16" ht="15">
      <c r="A55" s="206">
        <v>1</v>
      </c>
      <c r="B55" s="206" t="s">
        <v>138</v>
      </c>
      <c r="C55" s="206">
        <v>5839</v>
      </c>
      <c r="D55" s="206" t="s">
        <v>217</v>
      </c>
      <c r="E55" s="210" t="s">
        <v>77</v>
      </c>
      <c r="F55" s="210">
        <v>2E-3</v>
      </c>
      <c r="G55" s="307">
        <v>9.35</v>
      </c>
      <c r="H55" s="211">
        <f t="shared" ref="H55" si="5">ROUND(F55*G55,2)</f>
        <v>0.02</v>
      </c>
      <c r="I55" s="241"/>
      <c r="P55" s="246"/>
    </row>
    <row r="56" spans="1:16" ht="15">
      <c r="A56" s="206">
        <v>2</v>
      </c>
      <c r="B56" s="206" t="s">
        <v>138</v>
      </c>
      <c r="C56" s="206">
        <v>5841</v>
      </c>
      <c r="D56" s="206" t="s">
        <v>218</v>
      </c>
      <c r="E56" s="210" t="s">
        <v>78</v>
      </c>
      <c r="F56" s="210">
        <v>4.0000000000000001E-3</v>
      </c>
      <c r="G56" s="307">
        <v>4.45</v>
      </c>
      <c r="H56" s="211">
        <f t="shared" ref="H56" si="6">ROUND(F56*G56,2)</f>
        <v>0.02</v>
      </c>
      <c r="I56" s="241"/>
      <c r="P56" s="246"/>
    </row>
    <row r="57" spans="1:16" ht="15">
      <c r="A57" s="206">
        <v>3</v>
      </c>
      <c r="B57" s="206" t="s">
        <v>138</v>
      </c>
      <c r="C57" s="206">
        <v>41903</v>
      </c>
      <c r="D57" s="206" t="s">
        <v>345</v>
      </c>
      <c r="E57" s="210" t="s">
        <v>83</v>
      </c>
      <c r="F57" s="210">
        <v>0.45</v>
      </c>
      <c r="G57" s="307">
        <f>ROUND(3.33*(1+0.0165+0.076),2)</f>
        <v>3.64</v>
      </c>
      <c r="H57" s="211">
        <f>ROUND(F57*G57,2)</f>
        <v>1.64</v>
      </c>
      <c r="I57" s="241"/>
      <c r="P57" s="246"/>
    </row>
    <row r="58" spans="1:16" ht="30">
      <c r="A58" s="206">
        <v>4</v>
      </c>
      <c r="B58" s="206" t="s">
        <v>138</v>
      </c>
      <c r="C58" s="206">
        <v>83362</v>
      </c>
      <c r="D58" s="281" t="s">
        <v>219</v>
      </c>
      <c r="E58" s="210" t="s">
        <v>80</v>
      </c>
      <c r="F58" s="210">
        <v>4.0000000000000002E-4</v>
      </c>
      <c r="G58" s="307">
        <v>224.37</v>
      </c>
      <c r="H58" s="211">
        <f t="shared" ref="H58:H63" si="7">ROUND(F58*G58,2)</f>
        <v>0.09</v>
      </c>
      <c r="P58" s="246"/>
    </row>
    <row r="59" spans="1:16" ht="15">
      <c r="A59" s="206">
        <v>5</v>
      </c>
      <c r="B59" s="206" t="s">
        <v>138</v>
      </c>
      <c r="C59" s="206">
        <v>88316</v>
      </c>
      <c r="D59" s="206" t="s">
        <v>194</v>
      </c>
      <c r="E59" s="210" t="s">
        <v>79</v>
      </c>
      <c r="F59" s="210">
        <v>5.4999999999999997E-3</v>
      </c>
      <c r="G59" s="307">
        <v>17.760000000000002</v>
      </c>
      <c r="H59" s="211">
        <f t="shared" si="7"/>
        <v>0.1</v>
      </c>
      <c r="P59" s="246"/>
    </row>
    <row r="60" spans="1:16" ht="15">
      <c r="A60" s="206">
        <v>5</v>
      </c>
      <c r="B60" s="206" t="s">
        <v>138</v>
      </c>
      <c r="C60" s="206">
        <v>89035</v>
      </c>
      <c r="D60" s="206" t="s">
        <v>147</v>
      </c>
      <c r="E60" s="210" t="s">
        <v>80</v>
      </c>
      <c r="F60" s="210">
        <v>1.6999999999999999E-3</v>
      </c>
      <c r="G60" s="307">
        <v>142.68</v>
      </c>
      <c r="H60" s="211">
        <f t="shared" si="7"/>
        <v>0.24</v>
      </c>
      <c r="P60" s="246"/>
    </row>
    <row r="61" spans="1:16" ht="15">
      <c r="A61" s="206">
        <v>6</v>
      </c>
      <c r="B61" s="206" t="s">
        <v>138</v>
      </c>
      <c r="C61" s="206">
        <v>89036</v>
      </c>
      <c r="D61" s="206" t="s">
        <v>196</v>
      </c>
      <c r="E61" s="210" t="s">
        <v>78</v>
      </c>
      <c r="F61" s="210">
        <v>3.8E-3</v>
      </c>
      <c r="G61" s="307">
        <v>40.880000000000003</v>
      </c>
      <c r="H61" s="211">
        <f t="shared" si="7"/>
        <v>0.16</v>
      </c>
      <c r="P61" s="246"/>
    </row>
    <row r="62" spans="1:16" ht="30">
      <c r="A62" s="206">
        <v>8</v>
      </c>
      <c r="B62" s="206" t="s">
        <v>138</v>
      </c>
      <c r="C62" s="206">
        <v>91486</v>
      </c>
      <c r="D62" s="281" t="s">
        <v>222</v>
      </c>
      <c r="E62" s="210" t="s">
        <v>223</v>
      </c>
      <c r="F62" s="210">
        <v>5.1000000000000004E-3</v>
      </c>
      <c r="G62" s="307">
        <v>47.95</v>
      </c>
      <c r="H62" s="211">
        <f t="shared" ref="H62" si="8">ROUND(F62*G62,2)</f>
        <v>0.24</v>
      </c>
      <c r="P62" s="246"/>
    </row>
    <row r="63" spans="1:16" ht="15">
      <c r="A63" s="206">
        <v>9</v>
      </c>
      <c r="B63" s="206" t="s">
        <v>138</v>
      </c>
      <c r="C63" s="247">
        <v>102332</v>
      </c>
      <c r="D63" s="206" t="s">
        <v>221</v>
      </c>
      <c r="E63" s="210" t="s">
        <v>76</v>
      </c>
      <c r="F63" s="210">
        <f>ROUND(30*0.00045,2)</f>
        <v>0.01</v>
      </c>
      <c r="G63" s="307">
        <v>1.39</v>
      </c>
      <c r="H63" s="211">
        <f t="shared" si="7"/>
        <v>0.01</v>
      </c>
      <c r="P63" s="246"/>
    </row>
    <row r="64" spans="1:16" ht="15">
      <c r="A64" s="206">
        <v>10</v>
      </c>
      <c r="B64" s="206" t="s">
        <v>138</v>
      </c>
      <c r="C64" s="247">
        <v>102333</v>
      </c>
      <c r="D64" s="206" t="s">
        <v>220</v>
      </c>
      <c r="E64" s="210" t="s">
        <v>76</v>
      </c>
      <c r="F64" s="210">
        <f>ROUND(70*0.00045,2)</f>
        <v>0.03</v>
      </c>
      <c r="G64" s="307">
        <v>0.56000000000000005</v>
      </c>
      <c r="H64" s="211">
        <f t="shared" ref="H64" si="9">ROUND(F64*G64,2)</f>
        <v>0.02</v>
      </c>
      <c r="P64" s="246"/>
    </row>
    <row r="65" spans="1:16" ht="15">
      <c r="A65" s="206"/>
      <c r="B65" s="206"/>
      <c r="C65" s="206"/>
      <c r="D65" s="206"/>
      <c r="E65" s="210"/>
      <c r="F65" s="210"/>
      <c r="G65" s="211"/>
      <c r="H65" s="211"/>
      <c r="P65" s="246"/>
    </row>
    <row r="66" spans="1:16" ht="15">
      <c r="A66" s="205"/>
      <c r="B66" s="203"/>
      <c r="C66" s="203"/>
      <c r="D66" s="203"/>
      <c r="E66" s="203"/>
      <c r="F66" s="203"/>
      <c r="G66" s="203"/>
      <c r="H66" s="204"/>
      <c r="P66" s="248"/>
    </row>
    <row r="67" spans="1:16" ht="15">
      <c r="A67" s="233"/>
      <c r="B67" s="234"/>
      <c r="C67" s="234"/>
      <c r="D67" s="234"/>
      <c r="E67" s="234"/>
      <c r="F67" s="234" t="s">
        <v>201</v>
      </c>
      <c r="G67" s="251"/>
      <c r="H67" s="235">
        <f>SUM(H57:H66)</f>
        <v>2.5000000000000004</v>
      </c>
      <c r="P67" s="248"/>
    </row>
    <row r="68" spans="1:16" ht="15">
      <c r="A68" s="205" t="s">
        <v>180</v>
      </c>
      <c r="B68" s="441" t="s">
        <v>202</v>
      </c>
      <c r="C68" s="442"/>
      <c r="D68" s="442"/>
      <c r="E68" s="443"/>
      <c r="F68" s="219" t="s">
        <v>179</v>
      </c>
      <c r="G68" s="229">
        <v>0.24229999999999999</v>
      </c>
      <c r="H68" s="220">
        <f>ROUND(H67*G68,2)</f>
        <v>0.61</v>
      </c>
      <c r="P68" s="248"/>
    </row>
    <row r="69" spans="1:16" ht="15">
      <c r="A69" s="205"/>
      <c r="B69" s="444"/>
      <c r="C69" s="444"/>
      <c r="D69" s="444"/>
      <c r="E69" s="445"/>
      <c r="F69" s="219"/>
      <c r="G69" s="229"/>
      <c r="H69" s="220"/>
      <c r="P69" s="248"/>
    </row>
    <row r="70" spans="1:16" ht="15">
      <c r="A70" s="207"/>
      <c r="B70" s="253" t="s">
        <v>216</v>
      </c>
      <c r="C70" s="253"/>
      <c r="D70" s="253"/>
      <c r="E70" s="253"/>
      <c r="F70" s="230" t="s">
        <v>167</v>
      </c>
      <c r="G70" s="231"/>
      <c r="H70" s="232">
        <f>H67+H68</f>
        <v>3.1100000000000003</v>
      </c>
      <c r="P70" s="248"/>
    </row>
    <row r="71" spans="1:16" ht="15">
      <c r="A71" s="209"/>
      <c r="B71" s="209"/>
      <c r="C71" s="209"/>
      <c r="D71" s="209"/>
      <c r="E71" s="209"/>
      <c r="F71" s="209"/>
      <c r="G71" s="209"/>
      <c r="H71" s="209"/>
      <c r="P71" s="248"/>
    </row>
    <row r="72" spans="1:16" ht="15">
      <c r="A72" s="209"/>
      <c r="B72" s="209"/>
      <c r="C72" s="209"/>
      <c r="D72" s="209"/>
      <c r="E72" s="209"/>
      <c r="F72" s="209"/>
      <c r="G72" s="209"/>
      <c r="H72" s="209"/>
      <c r="P72" s="248"/>
    </row>
    <row r="73" spans="1:16" ht="15">
      <c r="A73" s="209"/>
      <c r="B73" s="209"/>
      <c r="C73" s="209"/>
      <c r="D73" s="209"/>
      <c r="E73" s="209"/>
      <c r="F73" s="209"/>
      <c r="G73" s="209"/>
      <c r="H73" s="209"/>
      <c r="P73" s="248"/>
    </row>
    <row r="74" spans="1:16" ht="15">
      <c r="A74" s="209"/>
      <c r="B74" s="209"/>
      <c r="C74" s="209"/>
      <c r="D74" s="209"/>
      <c r="E74" s="209"/>
      <c r="F74" s="209"/>
      <c r="G74" s="209"/>
      <c r="H74" s="209"/>
    </row>
    <row r="75" spans="1:16" ht="14.25">
      <c r="A75" s="236" t="s">
        <v>312</v>
      </c>
      <c r="B75" s="237"/>
      <c r="C75" s="237"/>
      <c r="D75" s="237" t="s">
        <v>333</v>
      </c>
      <c r="E75" s="237"/>
      <c r="F75" s="237"/>
      <c r="G75" s="237"/>
      <c r="H75" s="238" t="s">
        <v>317</v>
      </c>
      <c r="P75" s="248"/>
    </row>
    <row r="76" spans="1:16" ht="15">
      <c r="A76" s="239" t="s">
        <v>178</v>
      </c>
      <c r="B76" s="239" t="s">
        <v>173</v>
      </c>
      <c r="C76" s="239" t="s">
        <v>103</v>
      </c>
      <c r="D76" s="239" t="s">
        <v>96</v>
      </c>
      <c r="E76" s="239" t="s">
        <v>174</v>
      </c>
      <c r="F76" s="239" t="s">
        <v>175</v>
      </c>
      <c r="G76" s="239" t="s">
        <v>177</v>
      </c>
      <c r="H76" s="239" t="s">
        <v>176</v>
      </c>
      <c r="P76" s="248"/>
    </row>
    <row r="77" spans="1:16" ht="15">
      <c r="A77" s="206">
        <v>1</v>
      </c>
      <c r="B77" s="206" t="s">
        <v>138</v>
      </c>
      <c r="C77" s="206">
        <v>101021</v>
      </c>
      <c r="D77" s="206" t="s">
        <v>168</v>
      </c>
      <c r="E77" s="210" t="s">
        <v>75</v>
      </c>
      <c r="F77" s="210">
        <v>2.5548000000000002</v>
      </c>
      <c r="G77" s="307">
        <f>H118</f>
        <v>438.03999999999991</v>
      </c>
      <c r="H77" s="211">
        <f t="shared" ref="H77:H85" si="10">ROUND(F77*G77,2)</f>
        <v>1119.0999999999999</v>
      </c>
      <c r="I77" s="241"/>
      <c r="P77" s="246"/>
    </row>
    <row r="78" spans="1:16" ht="15">
      <c r="A78" s="206">
        <v>3</v>
      </c>
      <c r="B78" s="206" t="s">
        <v>138</v>
      </c>
      <c r="C78" s="206">
        <v>5835</v>
      </c>
      <c r="D78" s="206" t="s">
        <v>169</v>
      </c>
      <c r="E78" s="210" t="s">
        <v>77</v>
      </c>
      <c r="F78" s="254">
        <v>4.6399999999999997E-2</v>
      </c>
      <c r="G78" s="307">
        <v>292.97000000000003</v>
      </c>
      <c r="H78" s="211">
        <f t="shared" si="10"/>
        <v>13.59</v>
      </c>
      <c r="P78" s="246"/>
    </row>
    <row r="79" spans="1:16" ht="15">
      <c r="A79" s="206">
        <v>4</v>
      </c>
      <c r="B79" s="206" t="s">
        <v>138</v>
      </c>
      <c r="C79" s="206">
        <v>5837</v>
      </c>
      <c r="D79" s="206" t="s">
        <v>170</v>
      </c>
      <c r="E79" s="210" t="s">
        <v>78</v>
      </c>
      <c r="F79" s="210">
        <v>9.4899999999999998E-2</v>
      </c>
      <c r="G79" s="307">
        <v>111.01</v>
      </c>
      <c r="H79" s="211">
        <f t="shared" si="10"/>
        <v>10.53</v>
      </c>
      <c r="P79" s="246"/>
    </row>
    <row r="80" spans="1:16" ht="15">
      <c r="A80" s="206">
        <v>2</v>
      </c>
      <c r="B80" s="206" t="s">
        <v>138</v>
      </c>
      <c r="C80" s="206">
        <v>88314</v>
      </c>
      <c r="D80" s="206" t="s">
        <v>85</v>
      </c>
      <c r="E80" s="210" t="s">
        <v>79</v>
      </c>
      <c r="F80" s="210">
        <v>1.1301000000000001</v>
      </c>
      <c r="G80" s="307">
        <v>19.059999999999999</v>
      </c>
      <c r="H80" s="211">
        <f>ROUND(F80*G80,2)</f>
        <v>21.54</v>
      </c>
      <c r="P80" s="246"/>
    </row>
    <row r="81" spans="1:16" ht="15">
      <c r="A81" s="206">
        <v>11</v>
      </c>
      <c r="B81" s="206" t="s">
        <v>138</v>
      </c>
      <c r="C81" s="206">
        <v>91386</v>
      </c>
      <c r="D81" s="206" t="s">
        <v>197</v>
      </c>
      <c r="E81" s="210" t="s">
        <v>77</v>
      </c>
      <c r="F81" s="254">
        <v>4.6399999999999997E-2</v>
      </c>
      <c r="G81" s="307">
        <v>191.49</v>
      </c>
      <c r="H81" s="211">
        <f>ROUND(F81*G81,2)</f>
        <v>8.89</v>
      </c>
      <c r="P81" s="246"/>
    </row>
    <row r="82" spans="1:16" ht="15">
      <c r="A82" s="206">
        <v>7</v>
      </c>
      <c r="B82" s="206" t="s">
        <v>138</v>
      </c>
      <c r="C82" s="206">
        <v>95631</v>
      </c>
      <c r="D82" s="206" t="s">
        <v>171</v>
      </c>
      <c r="E82" s="210" t="s">
        <v>77</v>
      </c>
      <c r="F82" s="210">
        <v>8.0500000000000002E-2</v>
      </c>
      <c r="G82" s="307">
        <v>174.61</v>
      </c>
      <c r="H82" s="211">
        <f>ROUND(F82*G82,2)</f>
        <v>14.06</v>
      </c>
      <c r="P82" s="246"/>
    </row>
    <row r="83" spans="1:16" ht="15">
      <c r="A83" s="206">
        <v>8</v>
      </c>
      <c r="B83" s="206" t="s">
        <v>138</v>
      </c>
      <c r="C83" s="206">
        <v>95632</v>
      </c>
      <c r="D83" s="206" t="s">
        <v>172</v>
      </c>
      <c r="E83" s="210" t="s">
        <v>78</v>
      </c>
      <c r="F83" s="210">
        <v>6.0699999999999997E-2</v>
      </c>
      <c r="G83" s="307">
        <v>62.03</v>
      </c>
      <c r="H83" s="211">
        <f>ROUND(F83*G83,2)</f>
        <v>3.77</v>
      </c>
      <c r="P83" s="246"/>
    </row>
    <row r="84" spans="1:16" ht="15">
      <c r="A84" s="206">
        <v>10</v>
      </c>
      <c r="B84" s="206" t="s">
        <v>138</v>
      </c>
      <c r="C84" s="206">
        <v>96155</v>
      </c>
      <c r="D84" s="206" t="s">
        <v>181</v>
      </c>
      <c r="E84" s="210" t="s">
        <v>78</v>
      </c>
      <c r="F84" s="210">
        <v>0.1071</v>
      </c>
      <c r="G84" s="307">
        <v>45.12</v>
      </c>
      <c r="H84" s="211">
        <f>ROUND(F84*G84,2)</f>
        <v>4.83</v>
      </c>
      <c r="P84" s="246"/>
    </row>
    <row r="85" spans="1:16" ht="15">
      <c r="A85" s="206">
        <v>9</v>
      </c>
      <c r="B85" s="206" t="s">
        <v>138</v>
      </c>
      <c r="C85" s="206">
        <v>96157</v>
      </c>
      <c r="D85" s="206" t="s">
        <v>182</v>
      </c>
      <c r="E85" s="210" t="s">
        <v>77</v>
      </c>
      <c r="F85" s="210">
        <v>3.4099999999999998E-2</v>
      </c>
      <c r="G85" s="307">
        <v>151</v>
      </c>
      <c r="H85" s="211">
        <f t="shared" si="10"/>
        <v>5.15</v>
      </c>
      <c r="P85" s="246"/>
    </row>
    <row r="86" spans="1:16" ht="15">
      <c r="A86" s="206">
        <v>5</v>
      </c>
      <c r="B86" s="206" t="s">
        <v>138</v>
      </c>
      <c r="C86" s="206">
        <v>96463</v>
      </c>
      <c r="D86" s="206" t="s">
        <v>183</v>
      </c>
      <c r="E86" s="210" t="s">
        <v>77</v>
      </c>
      <c r="F86" s="210">
        <v>4.19E-2</v>
      </c>
      <c r="G86" s="307">
        <v>164.95</v>
      </c>
      <c r="H86" s="211">
        <f>ROUND(F86*G86,2)</f>
        <v>6.91</v>
      </c>
      <c r="P86" s="246"/>
    </row>
    <row r="87" spans="1:16" ht="15">
      <c r="A87" s="206">
        <v>6</v>
      </c>
      <c r="B87" s="206" t="s">
        <v>138</v>
      </c>
      <c r="C87" s="206">
        <v>96464</v>
      </c>
      <c r="D87" s="206" t="s">
        <v>184</v>
      </c>
      <c r="E87" s="210" t="s">
        <v>78</v>
      </c>
      <c r="F87" s="210">
        <v>9.9000000000000005E-2</v>
      </c>
      <c r="G87" s="307">
        <v>66.540000000000006</v>
      </c>
      <c r="H87" s="211">
        <f>ROUND(F87*G87,2)</f>
        <v>6.59</v>
      </c>
      <c r="P87" s="246"/>
    </row>
    <row r="88" spans="1:16" ht="15">
      <c r="A88" s="206"/>
      <c r="B88" s="206"/>
      <c r="C88" s="247"/>
      <c r="D88" s="206"/>
      <c r="E88" s="210"/>
      <c r="F88" s="249"/>
      <c r="G88" s="211"/>
      <c r="H88" s="211"/>
      <c r="P88" s="246"/>
    </row>
    <row r="89" spans="1:16" ht="15">
      <c r="A89" s="205"/>
      <c r="B89" s="203"/>
      <c r="C89" s="203"/>
      <c r="D89" s="203"/>
      <c r="E89" s="203"/>
      <c r="F89" s="203"/>
      <c r="G89" s="203"/>
      <c r="H89" s="204"/>
      <c r="P89" s="248"/>
    </row>
    <row r="90" spans="1:16" ht="15">
      <c r="A90" s="233"/>
      <c r="B90" s="234"/>
      <c r="C90" s="234"/>
      <c r="D90" s="234"/>
      <c r="E90" s="234"/>
      <c r="F90" s="234" t="s">
        <v>200</v>
      </c>
      <c r="G90" s="251"/>
      <c r="H90" s="235">
        <f>SUM(H77:H89)</f>
        <v>1214.9599999999998</v>
      </c>
      <c r="P90" s="248"/>
    </row>
    <row r="91" spans="1:16" ht="15">
      <c r="A91" s="205" t="s">
        <v>180</v>
      </c>
      <c r="B91" s="252"/>
      <c r="C91" s="203"/>
      <c r="D91" s="203"/>
      <c r="E91" s="203"/>
      <c r="F91" s="219" t="s">
        <v>179</v>
      </c>
      <c r="G91" s="229">
        <v>0.24229999999999999</v>
      </c>
      <c r="H91" s="220">
        <f>ROUND(H90*G91,2)</f>
        <v>294.38</v>
      </c>
      <c r="P91" s="248"/>
    </row>
    <row r="92" spans="1:16" ht="15">
      <c r="A92" s="205"/>
      <c r="B92" s="203"/>
      <c r="C92" s="203"/>
      <c r="D92" s="203"/>
      <c r="E92" s="203"/>
      <c r="F92" s="219"/>
      <c r="G92" s="229"/>
      <c r="H92" s="220"/>
      <c r="P92" s="248"/>
    </row>
    <row r="93" spans="1:16" ht="15">
      <c r="A93" s="207"/>
      <c r="B93" s="208"/>
      <c r="C93" s="208"/>
      <c r="D93" s="208"/>
      <c r="E93" s="208"/>
      <c r="F93" s="230" t="s">
        <v>167</v>
      </c>
      <c r="G93" s="231"/>
      <c r="H93" s="232">
        <f>H90+H91</f>
        <v>1509.3399999999997</v>
      </c>
      <c r="P93" s="248"/>
    </row>
    <row r="94" spans="1:16">
      <c r="A94" s="252"/>
      <c r="B94" s="252"/>
      <c r="C94" s="252"/>
      <c r="D94" s="252"/>
      <c r="E94" s="252"/>
      <c r="F94" s="252"/>
      <c r="G94" s="252"/>
      <c r="H94" s="252"/>
      <c r="P94" s="248"/>
    </row>
    <row r="95" spans="1:16" ht="15">
      <c r="A95" s="209"/>
      <c r="B95" s="209"/>
      <c r="C95" s="209"/>
      <c r="D95" s="209"/>
      <c r="E95" s="209"/>
      <c r="F95" s="209"/>
      <c r="G95" s="209"/>
      <c r="H95" s="209"/>
    </row>
    <row r="96" spans="1:16" ht="15">
      <c r="A96" s="209"/>
      <c r="B96" s="209"/>
      <c r="C96" s="209"/>
      <c r="D96" s="209"/>
      <c r="E96" s="209"/>
      <c r="F96" s="209"/>
      <c r="G96" s="209"/>
      <c r="H96" s="209"/>
      <c r="P96" s="248"/>
    </row>
    <row r="97" spans="1:16" ht="15">
      <c r="A97" s="209"/>
      <c r="B97" s="209"/>
      <c r="C97" s="209"/>
      <c r="D97" s="209"/>
      <c r="E97" s="209"/>
      <c r="F97" s="209"/>
      <c r="G97" s="209"/>
      <c r="H97" s="209"/>
      <c r="P97" s="248"/>
    </row>
    <row r="98" spans="1:16" ht="14.25">
      <c r="A98" s="236" t="s">
        <v>332</v>
      </c>
      <c r="B98" s="237"/>
      <c r="C98" s="237"/>
      <c r="D98" s="237" t="s">
        <v>324</v>
      </c>
      <c r="E98" s="237"/>
      <c r="F98" s="237"/>
      <c r="G98" s="237"/>
      <c r="H98" s="238" t="s">
        <v>75</v>
      </c>
      <c r="P98" s="248"/>
    </row>
    <row r="99" spans="1:16" ht="15">
      <c r="A99" s="239" t="s">
        <v>178</v>
      </c>
      <c r="B99" s="239" t="s">
        <v>173</v>
      </c>
      <c r="C99" s="239" t="s">
        <v>103</v>
      </c>
      <c r="D99" s="239" t="s">
        <v>96</v>
      </c>
      <c r="E99" s="239" t="s">
        <v>174</v>
      </c>
      <c r="F99" s="239" t="s">
        <v>175</v>
      </c>
      <c r="G99" s="239" t="s">
        <v>177</v>
      </c>
      <c r="H99" s="239" t="s">
        <v>176</v>
      </c>
      <c r="P99" s="248"/>
    </row>
    <row r="100" spans="1:16" ht="15">
      <c r="A100" s="206">
        <v>1</v>
      </c>
      <c r="B100" s="206" t="s">
        <v>138</v>
      </c>
      <c r="C100" s="206">
        <v>370</v>
      </c>
      <c r="D100" s="206" t="s">
        <v>87</v>
      </c>
      <c r="E100" s="210" t="s">
        <v>317</v>
      </c>
      <c r="F100" s="210">
        <v>0.32479999999999998</v>
      </c>
      <c r="G100" s="307">
        <v>66</v>
      </c>
      <c r="H100" s="211">
        <f t="shared" ref="H100:H110" si="11">ROUND(F100*G100,2)</f>
        <v>21.44</v>
      </c>
      <c r="I100" s="241"/>
      <c r="P100" s="246"/>
    </row>
    <row r="101" spans="1:16" ht="15">
      <c r="A101" s="206">
        <v>2</v>
      </c>
      <c r="B101" s="206" t="s">
        <v>138</v>
      </c>
      <c r="C101" s="206">
        <v>1106</v>
      </c>
      <c r="D101" s="206" t="s">
        <v>325</v>
      </c>
      <c r="E101" s="210" t="s">
        <v>83</v>
      </c>
      <c r="F101" s="210">
        <v>56.2</v>
      </c>
      <c r="G101" s="307">
        <v>0.68</v>
      </c>
      <c r="H101" s="211">
        <f t="shared" si="11"/>
        <v>38.22</v>
      </c>
      <c r="P101" s="246"/>
    </row>
    <row r="102" spans="1:16" ht="15">
      <c r="A102" s="206">
        <v>3</v>
      </c>
      <c r="B102" s="206" t="s">
        <v>138</v>
      </c>
      <c r="C102" s="206">
        <v>4720</v>
      </c>
      <c r="D102" s="206" t="s">
        <v>88</v>
      </c>
      <c r="E102" s="210" t="s">
        <v>317</v>
      </c>
      <c r="F102" s="210">
        <v>0.19980000000000001</v>
      </c>
      <c r="G102" s="307">
        <v>63.85</v>
      </c>
      <c r="H102" s="211">
        <f t="shared" si="11"/>
        <v>12.76</v>
      </c>
      <c r="P102" s="246"/>
    </row>
    <row r="103" spans="1:16" ht="15">
      <c r="A103" s="206">
        <v>4</v>
      </c>
      <c r="B103" s="206" t="s">
        <v>138</v>
      </c>
      <c r="C103" s="206">
        <v>4721</v>
      </c>
      <c r="D103" s="206" t="s">
        <v>89</v>
      </c>
      <c r="E103" s="210" t="s">
        <v>317</v>
      </c>
      <c r="F103" s="210">
        <v>6.25E-2</v>
      </c>
      <c r="G103" s="307">
        <v>55.3</v>
      </c>
      <c r="H103" s="211">
        <f t="shared" si="11"/>
        <v>3.46</v>
      </c>
      <c r="P103" s="246"/>
    </row>
    <row r="104" spans="1:16" ht="15">
      <c r="A104" s="206">
        <v>5</v>
      </c>
      <c r="B104" s="206" t="s">
        <v>138</v>
      </c>
      <c r="C104" s="206">
        <v>5944</v>
      </c>
      <c r="D104" s="206" t="s">
        <v>326</v>
      </c>
      <c r="E104" s="210" t="s">
        <v>80</v>
      </c>
      <c r="F104" s="210">
        <v>4.7999999999999996E-3</v>
      </c>
      <c r="G104" s="307">
        <v>152</v>
      </c>
      <c r="H104" s="211">
        <f t="shared" si="11"/>
        <v>0.73</v>
      </c>
      <c r="P104" s="246"/>
    </row>
    <row r="105" spans="1:16" ht="15">
      <c r="A105" s="206">
        <v>6</v>
      </c>
      <c r="B105" s="206" t="s">
        <v>138</v>
      </c>
      <c r="C105" s="206">
        <v>5944</v>
      </c>
      <c r="D105" s="206" t="s">
        <v>327</v>
      </c>
      <c r="E105" s="210" t="s">
        <v>223</v>
      </c>
      <c r="F105" s="210">
        <v>1.7899999999999999E-2</v>
      </c>
      <c r="G105" s="307">
        <v>56.98</v>
      </c>
      <c r="H105" s="211">
        <f t="shared" ref="H105" si="12">ROUND(F105*G105,2)</f>
        <v>1.02</v>
      </c>
      <c r="P105" s="246"/>
    </row>
    <row r="106" spans="1:16" ht="15">
      <c r="A106" s="206">
        <v>7</v>
      </c>
      <c r="B106" s="206" t="s">
        <v>138</v>
      </c>
      <c r="C106" s="206">
        <v>7030</v>
      </c>
      <c r="D106" s="206" t="s">
        <v>81</v>
      </c>
      <c r="E106" s="210" t="s">
        <v>77</v>
      </c>
      <c r="F106" s="210">
        <v>4.5499999999999999E-2</v>
      </c>
      <c r="G106" s="307">
        <v>175.14</v>
      </c>
      <c r="H106" s="211">
        <f t="shared" si="11"/>
        <v>7.97</v>
      </c>
      <c r="P106" s="246"/>
    </row>
    <row r="107" spans="1:16" ht="15">
      <c r="A107" s="206">
        <v>8</v>
      </c>
      <c r="B107" s="206" t="s">
        <v>138</v>
      </c>
      <c r="C107" s="206">
        <v>41899</v>
      </c>
      <c r="D107" s="206" t="s">
        <v>203</v>
      </c>
      <c r="E107" s="210" t="s">
        <v>75</v>
      </c>
      <c r="F107" s="210">
        <v>6.3229999999999995E-2</v>
      </c>
      <c r="G107" s="307">
        <f>ROUND(4300.75*(1+0.0165+0.076),2)</f>
        <v>4698.57</v>
      </c>
      <c r="H107" s="211">
        <f t="shared" si="11"/>
        <v>297.08999999999997</v>
      </c>
      <c r="P107" s="246"/>
    </row>
    <row r="108" spans="1:16" ht="15">
      <c r="A108" s="206">
        <v>9</v>
      </c>
      <c r="B108" s="206" t="s">
        <v>138</v>
      </c>
      <c r="C108" s="206">
        <v>88316</v>
      </c>
      <c r="D108" s="206" t="s">
        <v>140</v>
      </c>
      <c r="E108" s="210" t="s">
        <v>79</v>
      </c>
      <c r="F108" s="210">
        <v>4.5499999999999999E-2</v>
      </c>
      <c r="G108" s="307">
        <v>17.760000000000002</v>
      </c>
      <c r="H108" s="211">
        <f t="shared" si="11"/>
        <v>0.81</v>
      </c>
      <c r="P108" s="246"/>
    </row>
    <row r="109" spans="1:16" ht="15">
      <c r="A109" s="206">
        <v>10</v>
      </c>
      <c r="B109" s="206" t="s">
        <v>138</v>
      </c>
      <c r="C109" s="206">
        <v>90766</v>
      </c>
      <c r="D109" s="206" t="s">
        <v>328</v>
      </c>
      <c r="E109" s="210" t="s">
        <v>79</v>
      </c>
      <c r="F109" s="210">
        <v>2.2700000000000001E-2</v>
      </c>
      <c r="G109" s="307">
        <v>44.54</v>
      </c>
      <c r="H109" s="211">
        <f t="shared" ref="H109" si="13">ROUND(F109*G109,2)</f>
        <v>1.01</v>
      </c>
      <c r="P109" s="246"/>
    </row>
    <row r="110" spans="1:16" ht="15">
      <c r="A110" s="206">
        <v>11</v>
      </c>
      <c r="B110" s="206" t="s">
        <v>138</v>
      </c>
      <c r="C110" s="206">
        <v>93433</v>
      </c>
      <c r="D110" s="206" t="s">
        <v>198</v>
      </c>
      <c r="E110" s="210" t="s">
        <v>77</v>
      </c>
      <c r="F110" s="210">
        <v>1.7600000000000001E-2</v>
      </c>
      <c r="G110" s="307">
        <v>2477.37</v>
      </c>
      <c r="H110" s="211">
        <f t="shared" si="11"/>
        <v>43.6</v>
      </c>
      <c r="P110" s="246"/>
    </row>
    <row r="111" spans="1:16" ht="15">
      <c r="A111" s="206">
        <v>12</v>
      </c>
      <c r="B111" s="206" t="s">
        <v>138</v>
      </c>
      <c r="C111" s="206">
        <v>93434</v>
      </c>
      <c r="D111" s="206" t="s">
        <v>329</v>
      </c>
      <c r="E111" s="210" t="s">
        <v>78</v>
      </c>
      <c r="F111" s="210">
        <v>5.1000000000000004E-3</v>
      </c>
      <c r="G111" s="307">
        <v>188.77</v>
      </c>
      <c r="H111" s="211">
        <f t="shared" ref="H111:H115" si="14">ROUND(F111*G111,2)</f>
        <v>0.96</v>
      </c>
      <c r="P111" s="246"/>
    </row>
    <row r="112" spans="1:16" ht="15">
      <c r="A112" s="206">
        <v>13</v>
      </c>
      <c r="B112" s="206" t="s">
        <v>138</v>
      </c>
      <c r="C112" s="206">
        <v>95872</v>
      </c>
      <c r="D112" s="206" t="s">
        <v>330</v>
      </c>
      <c r="E112" s="210" t="s">
        <v>77</v>
      </c>
      <c r="F112" s="210">
        <v>1.7600000000000001E-2</v>
      </c>
      <c r="G112" s="307">
        <v>217.06</v>
      </c>
      <c r="H112" s="211">
        <f t="shared" si="14"/>
        <v>3.82</v>
      </c>
      <c r="P112" s="246"/>
    </row>
    <row r="113" spans="1:16" ht="15">
      <c r="A113" s="206">
        <v>14</v>
      </c>
      <c r="B113" s="206" t="s">
        <v>138</v>
      </c>
      <c r="C113" s="206">
        <v>95873</v>
      </c>
      <c r="D113" s="206" t="s">
        <v>331</v>
      </c>
      <c r="E113" s="210" t="s">
        <v>78</v>
      </c>
      <c r="F113" s="210">
        <v>5.1000000000000004E-3</v>
      </c>
      <c r="G113" s="307">
        <v>6.65</v>
      </c>
      <c r="H113" s="211">
        <f t="shared" si="14"/>
        <v>0.03</v>
      </c>
      <c r="P113" s="246"/>
    </row>
    <row r="114" spans="1:16" ht="15">
      <c r="A114" s="206">
        <v>15</v>
      </c>
      <c r="B114" s="206" t="s">
        <v>138</v>
      </c>
      <c r="C114" s="247">
        <v>102332</v>
      </c>
      <c r="D114" s="206" t="s">
        <v>221</v>
      </c>
      <c r="E114" s="210" t="s">
        <v>76</v>
      </c>
      <c r="F114" s="210">
        <f>ROUND(30*0.06323,2)</f>
        <v>1.9</v>
      </c>
      <c r="G114" s="307">
        <v>1.39</v>
      </c>
      <c r="H114" s="211">
        <f t="shared" si="14"/>
        <v>2.64</v>
      </c>
      <c r="P114" s="246"/>
    </row>
    <row r="115" spans="1:16" ht="15">
      <c r="A115" s="206">
        <v>16</v>
      </c>
      <c r="B115" s="206" t="s">
        <v>138</v>
      </c>
      <c r="C115" s="247">
        <v>102333</v>
      </c>
      <c r="D115" s="206" t="s">
        <v>220</v>
      </c>
      <c r="E115" s="210" t="s">
        <v>76</v>
      </c>
      <c r="F115" s="210">
        <f>ROUND(70*0.06323,2)</f>
        <v>4.43</v>
      </c>
      <c r="G115" s="307">
        <v>0.56000000000000005</v>
      </c>
      <c r="H115" s="211">
        <f t="shared" si="14"/>
        <v>2.48</v>
      </c>
      <c r="P115" s="246"/>
    </row>
    <row r="116" spans="1:16" ht="15">
      <c r="A116" s="206"/>
      <c r="B116" s="206"/>
      <c r="C116" s="247"/>
      <c r="D116" s="206"/>
      <c r="E116" s="210"/>
      <c r="F116" s="249"/>
      <c r="G116" s="211"/>
      <c r="H116" s="211"/>
      <c r="P116" s="246"/>
    </row>
    <row r="117" spans="1:16" ht="15">
      <c r="A117" s="205"/>
      <c r="B117" s="203"/>
      <c r="C117" s="203"/>
      <c r="D117" s="203"/>
      <c r="E117" s="203"/>
      <c r="F117" s="203"/>
      <c r="G117" s="203"/>
      <c r="H117" s="204"/>
      <c r="P117" s="248"/>
    </row>
    <row r="118" spans="1:16" ht="15">
      <c r="A118" s="233"/>
      <c r="B118" s="234"/>
      <c r="C118" s="234"/>
      <c r="D118" s="234"/>
      <c r="E118" s="234"/>
      <c r="F118" s="234" t="s">
        <v>199</v>
      </c>
      <c r="G118" s="251"/>
      <c r="H118" s="235">
        <f>SUM(H100:H117)</f>
        <v>438.03999999999991</v>
      </c>
      <c r="P118" s="248"/>
    </row>
    <row r="119" spans="1:16" ht="15">
      <c r="A119" s="205" t="s">
        <v>180</v>
      </c>
      <c r="B119" s="441" t="s">
        <v>202</v>
      </c>
      <c r="C119" s="442"/>
      <c r="D119" s="442"/>
      <c r="E119" s="443"/>
      <c r="F119" s="219" t="s">
        <v>179</v>
      </c>
      <c r="G119" s="229">
        <v>0.24229999999999999</v>
      </c>
      <c r="H119" s="220">
        <f>ROUND(H118*G119,2)</f>
        <v>106.14</v>
      </c>
      <c r="P119" s="248"/>
    </row>
    <row r="120" spans="1:16" ht="15">
      <c r="A120" s="205"/>
      <c r="B120" s="444"/>
      <c r="C120" s="444"/>
      <c r="D120" s="444"/>
      <c r="E120" s="445"/>
      <c r="F120" s="219"/>
      <c r="G120" s="229"/>
      <c r="H120" s="220"/>
    </row>
    <row r="121" spans="1:16" ht="15">
      <c r="A121" s="207"/>
      <c r="B121" s="253" t="s">
        <v>216</v>
      </c>
      <c r="C121" s="253"/>
      <c r="D121" s="253"/>
      <c r="E121" s="253"/>
      <c r="F121" s="230" t="s">
        <v>167</v>
      </c>
      <c r="G121" s="231"/>
      <c r="H121" s="232">
        <f>H118+H119</f>
        <v>544.17999999999995</v>
      </c>
    </row>
    <row r="123" spans="1:16" ht="15">
      <c r="A123" s="209"/>
      <c r="B123" s="209"/>
      <c r="C123" s="209"/>
      <c r="D123" s="209"/>
      <c r="E123" s="209"/>
      <c r="F123" s="209"/>
      <c r="G123" s="209"/>
      <c r="H123" s="209"/>
      <c r="P123" s="248"/>
    </row>
    <row r="126" spans="1:16" s="316" customFormat="1" ht="14.25">
      <c r="A126" s="315"/>
      <c r="B126" s="315"/>
      <c r="C126" s="315"/>
      <c r="D126" s="315"/>
      <c r="E126" s="315"/>
      <c r="F126" s="315"/>
      <c r="G126" s="315"/>
      <c r="H126" s="315"/>
    </row>
    <row r="127" spans="1:16" s="316" customFormat="1" ht="14.25">
      <c r="A127" s="236" t="s">
        <v>389</v>
      </c>
      <c r="B127" s="237"/>
      <c r="C127" s="237"/>
      <c r="D127" s="237" t="s">
        <v>374</v>
      </c>
      <c r="E127" s="237"/>
      <c r="F127" s="237"/>
      <c r="G127" s="237"/>
      <c r="H127" s="238" t="s">
        <v>375</v>
      </c>
      <c r="P127" s="317"/>
    </row>
    <row r="128" spans="1:16" s="316" customFormat="1" ht="15">
      <c r="A128" s="239" t="s">
        <v>178</v>
      </c>
      <c r="B128" s="239" t="s">
        <v>173</v>
      </c>
      <c r="C128" s="239" t="s">
        <v>103</v>
      </c>
      <c r="D128" s="239" t="s">
        <v>96</v>
      </c>
      <c r="E128" s="239" t="s">
        <v>174</v>
      </c>
      <c r="F128" s="239" t="s">
        <v>175</v>
      </c>
      <c r="G128" s="239" t="s">
        <v>177</v>
      </c>
      <c r="H128" s="239" t="s">
        <v>176</v>
      </c>
      <c r="P128" s="317"/>
    </row>
    <row r="129" spans="1:16" s="316" customFormat="1" ht="14.25">
      <c r="A129" s="318">
        <v>1</v>
      </c>
      <c r="B129" s="318" t="s">
        <v>138</v>
      </c>
      <c r="C129" s="318">
        <v>88316</v>
      </c>
      <c r="D129" s="318" t="s">
        <v>194</v>
      </c>
      <c r="E129" s="319" t="s">
        <v>79</v>
      </c>
      <c r="F129" s="319">
        <v>15</v>
      </c>
      <c r="G129" s="320">
        <v>17.760000000000002</v>
      </c>
      <c r="H129" s="321">
        <f t="shared" ref="H129:H136" si="15">ROUND(F129*G129,2)</f>
        <v>266.39999999999998</v>
      </c>
      <c r="I129" s="241"/>
      <c r="P129" s="322"/>
    </row>
    <row r="130" spans="1:16" s="316" customFormat="1" ht="14.25">
      <c r="A130" s="323">
        <v>2</v>
      </c>
      <c r="B130" s="323" t="s">
        <v>138</v>
      </c>
      <c r="C130" s="323">
        <v>88309</v>
      </c>
      <c r="D130" s="323" t="s">
        <v>376</v>
      </c>
      <c r="E130" s="324" t="s">
        <v>79</v>
      </c>
      <c r="F130" s="324">
        <v>15</v>
      </c>
      <c r="G130" s="320">
        <v>21.53</v>
      </c>
      <c r="H130" s="320">
        <f t="shared" si="15"/>
        <v>322.95</v>
      </c>
      <c r="P130" s="322"/>
    </row>
    <row r="131" spans="1:16" s="316" customFormat="1" ht="14.25">
      <c r="A131" s="323">
        <v>3</v>
      </c>
      <c r="B131" s="323" t="s">
        <v>138</v>
      </c>
      <c r="C131" s="323">
        <v>5678</v>
      </c>
      <c r="D131" s="323" t="s">
        <v>377</v>
      </c>
      <c r="E131" s="324" t="s">
        <v>77</v>
      </c>
      <c r="F131" s="324">
        <v>0.6</v>
      </c>
      <c r="G131" s="320">
        <v>115.3</v>
      </c>
      <c r="H131" s="320">
        <f t="shared" si="15"/>
        <v>69.180000000000007</v>
      </c>
      <c r="P131" s="322"/>
    </row>
    <row r="132" spans="1:16" s="316" customFormat="1" ht="14.25">
      <c r="A132" s="323">
        <v>4</v>
      </c>
      <c r="B132" s="323" t="s">
        <v>138</v>
      </c>
      <c r="C132" s="323">
        <v>25070</v>
      </c>
      <c r="D132" s="323" t="s">
        <v>378</v>
      </c>
      <c r="E132" s="324" t="s">
        <v>5</v>
      </c>
      <c r="F132" s="324">
        <f>ROUND((J133*K133*2)+(J134*K134*2),2)</f>
        <v>112</v>
      </c>
      <c r="G132" s="320">
        <v>3.85</v>
      </c>
      <c r="H132" s="320">
        <f t="shared" si="15"/>
        <v>431.2</v>
      </c>
      <c r="J132" s="316" t="s">
        <v>379</v>
      </c>
      <c r="P132" s="322"/>
    </row>
    <row r="133" spans="1:16" s="316" customFormat="1" ht="14.25">
      <c r="A133" s="323">
        <v>5</v>
      </c>
      <c r="B133" s="323" t="s">
        <v>138</v>
      </c>
      <c r="C133" s="323">
        <v>88631</v>
      </c>
      <c r="D133" s="323" t="s">
        <v>380</v>
      </c>
      <c r="E133" s="324" t="s">
        <v>3</v>
      </c>
      <c r="F133" s="324">
        <f>(0.4+0.2)*0.2*0.015*F132</f>
        <v>0.20160000000000006</v>
      </c>
      <c r="G133" s="320">
        <v>484.12</v>
      </c>
      <c r="H133" s="320">
        <f t="shared" si="15"/>
        <v>97.6</v>
      </c>
      <c r="J133" s="316">
        <f>ROUNDUP(1.2/0.39,0)</f>
        <v>4</v>
      </c>
      <c r="K133" s="316">
        <f>ROUNDUP(1.5/0.2,0)</f>
        <v>8</v>
      </c>
      <c r="P133" s="322"/>
    </row>
    <row r="134" spans="1:16" s="316" customFormat="1" ht="14.25">
      <c r="A134" s="323">
        <v>6</v>
      </c>
      <c r="B134" s="323" t="s">
        <v>138</v>
      </c>
      <c r="C134" s="323">
        <v>94964</v>
      </c>
      <c r="D134" s="323" t="s">
        <v>381</v>
      </c>
      <c r="E134" s="324" t="s">
        <v>3</v>
      </c>
      <c r="F134" s="324">
        <f>1.2*1.2*0.05*1.08</f>
        <v>7.7759999999999996E-2</v>
      </c>
      <c r="G134" s="320">
        <v>378.64</v>
      </c>
      <c r="H134" s="320">
        <f t="shared" si="15"/>
        <v>29.44</v>
      </c>
      <c r="J134" s="316">
        <f>ROUNDUP(0.8/0.39,0)</f>
        <v>3</v>
      </c>
      <c r="K134" s="316">
        <f>ROUNDUP(1.5/0.2,0)</f>
        <v>8</v>
      </c>
      <c r="P134" s="322"/>
    </row>
    <row r="135" spans="1:16" s="316" customFormat="1" ht="14.25">
      <c r="A135" s="323">
        <v>7</v>
      </c>
      <c r="B135" s="323" t="s">
        <v>138</v>
      </c>
      <c r="C135" s="323">
        <v>4721</v>
      </c>
      <c r="D135" s="323" t="s">
        <v>89</v>
      </c>
      <c r="E135" s="324" t="s">
        <v>3</v>
      </c>
      <c r="F135" s="324">
        <f>1.2*1.2*0.1</f>
        <v>0.14399999999999999</v>
      </c>
      <c r="G135" s="320">
        <v>55.3</v>
      </c>
      <c r="H135" s="320">
        <f t="shared" si="15"/>
        <v>7.96</v>
      </c>
      <c r="P135" s="322"/>
    </row>
    <row r="136" spans="1:16" s="316" customFormat="1" ht="14.25">
      <c r="A136" s="323">
        <v>8</v>
      </c>
      <c r="B136" s="323" t="s">
        <v>138</v>
      </c>
      <c r="C136" s="323">
        <v>95875</v>
      </c>
      <c r="D136" s="323" t="s">
        <v>382</v>
      </c>
      <c r="E136" s="324" t="s">
        <v>383</v>
      </c>
      <c r="F136" s="324">
        <f>F135*45</f>
        <v>6.4799999999999995</v>
      </c>
      <c r="G136" s="320">
        <v>1.75</v>
      </c>
      <c r="H136" s="320">
        <f t="shared" si="15"/>
        <v>11.34</v>
      </c>
      <c r="P136" s="322"/>
    </row>
    <row r="137" spans="1:16" s="316" customFormat="1" ht="14.25">
      <c r="A137" s="323"/>
      <c r="B137" s="323"/>
      <c r="C137" s="323"/>
      <c r="D137" s="323"/>
      <c r="E137" s="324"/>
      <c r="F137" s="324"/>
      <c r="G137" s="320"/>
      <c r="H137" s="320"/>
      <c r="P137" s="322"/>
    </row>
    <row r="138" spans="1:16" s="316" customFormat="1" ht="15">
      <c r="A138" s="323"/>
      <c r="B138" s="323"/>
      <c r="C138" s="323"/>
      <c r="D138" s="325" t="s">
        <v>384</v>
      </c>
      <c r="E138" s="324"/>
      <c r="F138" s="324"/>
      <c r="G138" s="320"/>
      <c r="H138" s="320"/>
      <c r="P138" s="322"/>
    </row>
    <row r="139" spans="1:16" s="316" customFormat="1" ht="14.25">
      <c r="A139" s="318">
        <v>9</v>
      </c>
      <c r="B139" s="318" t="s">
        <v>138</v>
      </c>
      <c r="C139" s="318">
        <v>88316</v>
      </c>
      <c r="D139" s="318" t="s">
        <v>194</v>
      </c>
      <c r="E139" s="319" t="s">
        <v>79</v>
      </c>
      <c r="F139" s="319">
        <v>3</v>
      </c>
      <c r="G139" s="320">
        <v>17.760000000000002</v>
      </c>
      <c r="H139" s="321">
        <f t="shared" ref="H139:H145" si="16">ROUND(F139*G139,2)</f>
        <v>53.28</v>
      </c>
      <c r="I139" s="241"/>
      <c r="P139" s="322"/>
    </row>
    <row r="140" spans="1:16" s="316" customFormat="1" ht="14.25">
      <c r="A140" s="323">
        <v>10</v>
      </c>
      <c r="B140" s="323" t="s">
        <v>138</v>
      </c>
      <c r="C140" s="323">
        <v>88309</v>
      </c>
      <c r="D140" s="323" t="s">
        <v>376</v>
      </c>
      <c r="E140" s="324" t="s">
        <v>79</v>
      </c>
      <c r="F140" s="324">
        <v>3</v>
      </c>
      <c r="G140" s="320">
        <v>21.53</v>
      </c>
      <c r="H140" s="320">
        <f t="shared" si="16"/>
        <v>64.59</v>
      </c>
      <c r="P140" s="322"/>
    </row>
    <row r="141" spans="1:16" s="316" customFormat="1" ht="14.25">
      <c r="A141" s="318">
        <v>11</v>
      </c>
      <c r="B141" s="323" t="s">
        <v>138</v>
      </c>
      <c r="C141" s="323">
        <v>6193</v>
      </c>
      <c r="D141" s="323" t="s">
        <v>390</v>
      </c>
      <c r="E141" s="324" t="s">
        <v>2</v>
      </c>
      <c r="F141" s="324">
        <f>((0.6+0.6+1.2+1.2)*2)*0.1</f>
        <v>0.72</v>
      </c>
      <c r="G141" s="320">
        <v>11.23</v>
      </c>
      <c r="H141" s="320">
        <f t="shared" si="16"/>
        <v>8.09</v>
      </c>
      <c r="P141" s="322"/>
    </row>
    <row r="142" spans="1:16" s="316" customFormat="1" ht="14.25">
      <c r="A142" s="323">
        <v>12</v>
      </c>
      <c r="B142" s="323" t="s">
        <v>138</v>
      </c>
      <c r="C142" s="323">
        <v>94964</v>
      </c>
      <c r="D142" s="323" t="s">
        <v>385</v>
      </c>
      <c r="E142" s="324" t="s">
        <v>3</v>
      </c>
      <c r="F142" s="324">
        <f>1.2*1.2*0.1*1.08</f>
        <v>0.15551999999999999</v>
      </c>
      <c r="G142" s="320">
        <v>378.64</v>
      </c>
      <c r="H142" s="320">
        <f t="shared" si="16"/>
        <v>58.89</v>
      </c>
      <c r="P142" s="322"/>
    </row>
    <row r="143" spans="1:16" s="316" customFormat="1" ht="14.25">
      <c r="A143" s="318">
        <v>13</v>
      </c>
      <c r="B143" s="323" t="s">
        <v>138</v>
      </c>
      <c r="C143" s="323">
        <v>43061</v>
      </c>
      <c r="D143" s="323" t="s">
        <v>386</v>
      </c>
      <c r="E143" s="324" t="s">
        <v>83</v>
      </c>
      <c r="F143" s="324">
        <f>1.2*13*0.154</f>
        <v>2.4024000000000001</v>
      </c>
      <c r="G143" s="320">
        <v>12.01</v>
      </c>
      <c r="H143" s="320">
        <f t="shared" si="16"/>
        <v>28.85</v>
      </c>
      <c r="P143" s="322"/>
    </row>
    <row r="144" spans="1:16" s="316" customFormat="1" ht="14.25">
      <c r="A144" s="323">
        <v>14</v>
      </c>
      <c r="B144" s="323" t="s">
        <v>138</v>
      </c>
      <c r="C144" s="323">
        <v>43061</v>
      </c>
      <c r="D144" s="323" t="s">
        <v>386</v>
      </c>
      <c r="E144" s="324" t="s">
        <v>83</v>
      </c>
      <c r="F144" s="324">
        <f>F143</f>
        <v>2.4024000000000001</v>
      </c>
      <c r="G144" s="320">
        <v>12.01</v>
      </c>
      <c r="H144" s="320">
        <f t="shared" si="16"/>
        <v>28.85</v>
      </c>
      <c r="P144" s="322"/>
    </row>
    <row r="145" spans="1:16" s="316" customFormat="1" ht="14.25">
      <c r="A145" s="318">
        <v>15</v>
      </c>
      <c r="B145" s="323" t="s">
        <v>138</v>
      </c>
      <c r="C145" s="323">
        <v>43058</v>
      </c>
      <c r="D145" s="323" t="s">
        <v>387</v>
      </c>
      <c r="E145" s="324" t="s">
        <v>83</v>
      </c>
      <c r="F145" s="324">
        <f>0.6*0.963*2</f>
        <v>1.1556</v>
      </c>
      <c r="G145" s="320">
        <v>12.05</v>
      </c>
      <c r="H145" s="320">
        <f t="shared" si="16"/>
        <v>13.92</v>
      </c>
      <c r="P145" s="322"/>
    </row>
    <row r="146" spans="1:16" s="316" customFormat="1" ht="14.25">
      <c r="A146" s="323"/>
      <c r="B146" s="323"/>
      <c r="C146" s="323"/>
      <c r="D146" s="323"/>
      <c r="E146" s="324"/>
      <c r="F146" s="324"/>
      <c r="G146" s="320"/>
      <c r="H146" s="320"/>
      <c r="P146" s="322"/>
    </row>
    <row r="147" spans="1:16" s="316" customFormat="1" ht="14.25">
      <c r="A147" s="326"/>
      <c r="B147" s="327"/>
      <c r="C147" s="327"/>
      <c r="D147" s="327"/>
      <c r="E147" s="327"/>
      <c r="F147" s="327"/>
      <c r="G147" s="327"/>
      <c r="H147" s="328"/>
      <c r="P147" s="317"/>
    </row>
    <row r="148" spans="1:16" s="316" customFormat="1" ht="15">
      <c r="A148" s="233"/>
      <c r="B148" s="234"/>
      <c r="C148" s="234"/>
      <c r="D148" s="234"/>
      <c r="E148" s="234"/>
      <c r="F148" s="234" t="s">
        <v>388</v>
      </c>
      <c r="G148" s="251"/>
      <c r="H148" s="235">
        <f>SUM(H129:H147)</f>
        <v>1492.5399999999997</v>
      </c>
      <c r="P148" s="317"/>
    </row>
    <row r="149" spans="1:16" s="316" customFormat="1" ht="14.25">
      <c r="A149" s="326" t="s">
        <v>180</v>
      </c>
      <c r="C149" s="327"/>
      <c r="D149" s="327"/>
      <c r="E149" s="327"/>
      <c r="F149" s="329" t="s">
        <v>179</v>
      </c>
      <c r="G149" s="330">
        <v>0.24229999999999999</v>
      </c>
      <c r="H149" s="331">
        <f>TRUNC(H148*G149,2)</f>
        <v>361.64</v>
      </c>
      <c r="P149" s="317"/>
    </row>
    <row r="150" spans="1:16" s="316" customFormat="1" ht="14.25">
      <c r="A150" s="326"/>
      <c r="B150" s="327"/>
      <c r="C150" s="327"/>
      <c r="D150" s="327"/>
      <c r="E150" s="327"/>
      <c r="F150" s="329"/>
      <c r="G150" s="330"/>
      <c r="H150" s="331"/>
      <c r="P150" s="317"/>
    </row>
    <row r="151" spans="1:16" s="316" customFormat="1" ht="15">
      <c r="A151" s="332"/>
      <c r="B151" s="333"/>
      <c r="C151" s="333"/>
      <c r="D151" s="333"/>
      <c r="E151" s="333"/>
      <c r="F151" s="230" t="s">
        <v>167</v>
      </c>
      <c r="G151" s="231"/>
      <c r="H151" s="232">
        <f>H148+H149</f>
        <v>1854.1799999999998</v>
      </c>
      <c r="P151" s="317"/>
    </row>
  </sheetData>
  <mergeCells count="7">
    <mergeCell ref="A1:H1"/>
    <mergeCell ref="B119:E120"/>
    <mergeCell ref="B68:E69"/>
    <mergeCell ref="B48:E49"/>
    <mergeCell ref="A3:H3"/>
    <mergeCell ref="B13:E14"/>
    <mergeCell ref="B29:E30"/>
  </mergeCells>
  <pageMargins left="0.511811024" right="0.511811024" top="0.78740157499999996" bottom="0.78740157499999996" header="0.31496062000000002" footer="0.31496062000000002"/>
  <pageSetup paperSize="8" scale="65" fitToHeight="0" orientation="landscape" r:id="rId1"/>
  <rowBreaks count="2" manualBreakCount="2">
    <brk id="73" max="7" man="1"/>
    <brk id="123" max="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workbookViewId="0">
      <selection activeCell="B4" sqref="B4"/>
    </sheetView>
  </sheetViews>
  <sheetFormatPr defaultRowHeight="12.75"/>
  <cols>
    <col min="1" max="1" width="12.7109375" bestFit="1" customWidth="1"/>
    <col min="2" max="2" width="13.140625" bestFit="1" customWidth="1"/>
  </cols>
  <sheetData>
    <row r="1" spans="1:2">
      <c r="A1" s="212" t="s">
        <v>212</v>
      </c>
      <c r="B1" s="212" t="s">
        <v>189</v>
      </c>
    </row>
    <row r="2" spans="1:2">
      <c r="A2" t="s">
        <v>185</v>
      </c>
      <c r="B2">
        <f>43.4+1</f>
        <v>44.4</v>
      </c>
    </row>
    <row r="3" spans="1:2">
      <c r="A3" t="s">
        <v>186</v>
      </c>
      <c r="B3">
        <f>47.3+1</f>
        <v>48.3</v>
      </c>
    </row>
    <row r="4" spans="1:2">
      <c r="A4" t="s">
        <v>187</v>
      </c>
      <c r="B4">
        <f>38.5+1</f>
        <v>39.5</v>
      </c>
    </row>
    <row r="5" spans="1:2">
      <c r="A5" t="s">
        <v>188</v>
      </c>
      <c r="B5">
        <f>ROUNDUP(SUM(B2:B4)/3,0)</f>
        <v>45</v>
      </c>
    </row>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8</vt:i4>
      </vt:variant>
      <vt:variant>
        <vt:lpstr>Intervalos nomeados</vt:lpstr>
      </vt:variant>
      <vt:variant>
        <vt:i4>9</vt:i4>
      </vt:variant>
    </vt:vector>
  </HeadingPairs>
  <TitlesOfParts>
    <vt:vector size="17" baseType="lpstr">
      <vt:lpstr>ORÇAMENTO</vt:lpstr>
      <vt:lpstr>CRON. MACRO</vt:lpstr>
      <vt:lpstr>BDI</vt:lpstr>
      <vt:lpstr>Encargos Sociais</vt:lpstr>
      <vt:lpstr>MOBILIZAÇÃO-CPU </vt:lpstr>
      <vt:lpstr>ADM LOCAL-CPU</vt:lpstr>
      <vt:lpstr>CPU</vt:lpstr>
      <vt:lpstr>DMT</vt:lpstr>
      <vt:lpstr>'ADM LOCAL-CPU'!Area_de_impressao</vt:lpstr>
      <vt:lpstr>BDI!Area_de_impressao</vt:lpstr>
      <vt:lpstr>CPU!Area_de_impressao</vt:lpstr>
      <vt:lpstr>'CRON. MACRO'!Area_de_impressao</vt:lpstr>
      <vt:lpstr>'Encargos Sociais'!Area_de_impressao</vt:lpstr>
      <vt:lpstr>'MOBILIZAÇÃO-CPU '!Area_de_impressao</vt:lpstr>
      <vt:lpstr>ORÇAMENTO!Area_de_impressao</vt:lpstr>
      <vt:lpstr>'CRON. MACRO'!Titulos_de_impressao</vt:lpstr>
      <vt:lpstr>ORÇAMENTO!Titulos_de_impressao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Adilson Schuko</dc:creator>
  <cp:lastModifiedBy>Carlos</cp:lastModifiedBy>
  <cp:lastPrinted>2022-02-13T14:20:52Z</cp:lastPrinted>
  <dcterms:created xsi:type="dcterms:W3CDTF">2015-02-25T13:52:55Z</dcterms:created>
  <dcterms:modified xsi:type="dcterms:W3CDTF">2022-02-13T13:35:41Z</dcterms:modified>
</cp:coreProperties>
</file>