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8770" windowHeight="11460" tabRatio="917" activeTab="4"/>
  </bookViews>
  <sheets>
    <sheet name="Orçamento " sheetId="14" r:id="rId1"/>
    <sheet name="Cronograma" sheetId="11" r:id="rId2"/>
    <sheet name="BDI" sheetId="12" r:id="rId3"/>
    <sheet name="Encargos Sociais" sheetId="13" r:id="rId4"/>
    <sheet name="Composições" sheetId="18" r:id="rId5"/>
    <sheet name="Memória da cálculo" sheetId="20" r:id="rId6"/>
    <sheet name="DMT'S" sheetId="19" r:id="rId7"/>
  </sheets>
  <definedNames>
    <definedName name="_xlnm._FilterDatabase" localSheetId="5" hidden="1">'Memória da cálculo'!$A$15:$E$86</definedName>
    <definedName name="_xlnm._FilterDatabase" localSheetId="0" hidden="1">'Orçamento '!$A$15:$G$98</definedName>
    <definedName name="_xlnm.Print_Area" localSheetId="2">BDI!$A$1:$F$38</definedName>
    <definedName name="_xlnm.Print_Area" localSheetId="4">Composições!$A$1:$G$252</definedName>
    <definedName name="_xlnm.Print_Area" localSheetId="1">Cronograma!$A$1:$M$37</definedName>
    <definedName name="_xlnm.Print_Area" localSheetId="3">'Encargos Sociais'!$A$1:$F$56</definedName>
    <definedName name="_xlnm.Print_Area" localSheetId="5">'Memória da cálculo'!$A$1:$E$98</definedName>
    <definedName name="_xlnm.Print_Area" localSheetId="0">'Orçamento '!$A$1:$G$103</definedName>
    <definedName name="NRELATORIOS" localSheetId="5">COUNTA(#REF!)-2</definedName>
    <definedName name="NRELATORIOS" localSheetId="0">COUNTA(#REF!)-2</definedName>
    <definedName name="NRELATORIOS">COUNTA(#REF!)-2</definedName>
    <definedName name="RelatoriosFontes" localSheetId="4">OFFSET(#REF!,1,0,NRELATORIOS)</definedName>
    <definedName name="RelatoriosFontes" localSheetId="3">OFFSET(#REF!,1,0,NRELATORIOS)</definedName>
    <definedName name="RelatoriosFontes" localSheetId="5">OFFSET(#REF!,1,0,'Memória da cálculo'!NRELATORIOS)</definedName>
    <definedName name="RelatoriosFontes" localSheetId="0">OFFSET(#REF!,1,0,'Orçamento '!NRELATORIOS)</definedName>
    <definedName name="RelatoriosFontes">OFFSET(#REF!,1,0,NRELATORIOS)</definedName>
    <definedName name="_xlnm.Print_Titles" localSheetId="5">'Memória da cálculo'!$1:$9</definedName>
    <definedName name="_xlnm.Print_Titles" localSheetId="0">'Orçamento '!$1:$12</definedName>
  </definedNames>
  <calcPr calcId="145621"/>
</workbook>
</file>

<file path=xl/calcChain.xml><?xml version="1.0" encoding="utf-8"?>
<calcChain xmlns="http://schemas.openxmlformats.org/spreadsheetml/2006/main">
  <c r="G32" i="18" l="1"/>
  <c r="G8" i="18"/>
  <c r="G7" i="18"/>
  <c r="G6" i="18"/>
  <c r="G91" i="20" l="1"/>
  <c r="G42" i="20"/>
  <c r="G41" i="20"/>
  <c r="G40" i="20"/>
  <c r="G39" i="20"/>
  <c r="G38" i="20"/>
  <c r="G33" i="20"/>
  <c r="E34" i="14"/>
  <c r="G247" i="18"/>
  <c r="G246" i="18"/>
  <c r="E41" i="14"/>
  <c r="G249" i="18" l="1"/>
  <c r="G79" i="20"/>
  <c r="G73" i="20"/>
  <c r="G70" i="20"/>
  <c r="G45" i="20"/>
  <c r="G250" i="18" l="1"/>
  <c r="G251" i="18" s="1"/>
  <c r="R33" i="14"/>
  <c r="B22" i="19"/>
  <c r="D85" i="20"/>
  <c r="E26" i="14"/>
  <c r="G88" i="20"/>
  <c r="G87" i="20"/>
  <c r="G86" i="20"/>
  <c r="G85" i="20"/>
  <c r="G83" i="20"/>
  <c r="G78" i="20"/>
  <c r="G77" i="20"/>
  <c r="G76" i="20"/>
  <c r="G75" i="20"/>
  <c r="G72" i="20"/>
  <c r="G71" i="20"/>
  <c r="G69" i="20"/>
  <c r="G68" i="20"/>
  <c r="G59" i="20"/>
  <c r="G58" i="20"/>
  <c r="G57" i="20"/>
  <c r="G56" i="20"/>
  <c r="G55" i="20"/>
  <c r="G54" i="20"/>
  <c r="G51" i="20"/>
  <c r="G48" i="20"/>
  <c r="G44" i="20"/>
  <c r="G43" i="20"/>
  <c r="G35" i="20"/>
  <c r="G34" i="20"/>
  <c r="G31" i="20"/>
  <c r="G26" i="20"/>
  <c r="G25" i="20"/>
  <c r="G23" i="20"/>
  <c r="G22" i="20"/>
  <c r="G20" i="20"/>
  <c r="G19" i="20"/>
  <c r="G18" i="20"/>
  <c r="G17" i="20"/>
  <c r="E36" i="14"/>
  <c r="E61" i="14"/>
  <c r="E60" i="14"/>
  <c r="E50" i="14"/>
  <c r="E53" i="14"/>
  <c r="B6" i="19" l="1"/>
  <c r="H82" i="14" l="1"/>
  <c r="H27" i="14"/>
  <c r="H58" i="14" s="1"/>
  <c r="E87" i="14"/>
  <c r="E88" i="14" s="1"/>
  <c r="E78" i="14"/>
  <c r="E74" i="14"/>
  <c r="E71" i="14"/>
  <c r="E79" i="14"/>
  <c r="E23" i="14"/>
  <c r="D84" i="20" l="1"/>
  <c r="H31" i="14"/>
  <c r="H44" i="14"/>
  <c r="E27" i="14" l="1"/>
  <c r="B14" i="19" l="1"/>
  <c r="D68" i="20" l="1"/>
  <c r="E92" i="14" l="1"/>
  <c r="F80" i="18"/>
  <c r="F64" i="18"/>
  <c r="I50" i="20" l="1"/>
  <c r="I49" i="20"/>
  <c r="I47" i="20"/>
  <c r="I53" i="20" l="1"/>
  <c r="D92" i="20"/>
  <c r="C92" i="20"/>
  <c r="B92" i="20"/>
  <c r="D74" i="20"/>
  <c r="D75" i="20"/>
  <c r="D81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C81" i="20"/>
  <c r="D23" i="20" l="1"/>
  <c r="C23" i="20"/>
  <c r="C24" i="20"/>
  <c r="C25" i="20"/>
  <c r="C26" i="20"/>
  <c r="C27" i="20"/>
  <c r="C28" i="20"/>
  <c r="C29" i="20"/>
  <c r="C30" i="20"/>
  <c r="C31" i="20"/>
  <c r="C33" i="20"/>
  <c r="C34" i="20"/>
  <c r="C32" i="20"/>
  <c r="C35" i="20"/>
  <c r="C36" i="20"/>
  <c r="B23" i="20"/>
  <c r="B24" i="20"/>
  <c r="B25" i="20"/>
  <c r="B26" i="20"/>
  <c r="B27" i="20"/>
  <c r="B28" i="20"/>
  <c r="B29" i="20"/>
  <c r="B30" i="20"/>
  <c r="B31" i="20"/>
  <c r="B33" i="20"/>
  <c r="B34" i="20"/>
  <c r="B32" i="20"/>
  <c r="B35" i="20"/>
  <c r="B36" i="20"/>
  <c r="C69" i="20" l="1"/>
  <c r="C70" i="20"/>
  <c r="C71" i="20"/>
  <c r="C72" i="20"/>
  <c r="C73" i="20"/>
  <c r="C74" i="20"/>
  <c r="C75" i="20"/>
  <c r="C76" i="20"/>
  <c r="C77" i="20"/>
  <c r="C78" i="20"/>
  <c r="C79" i="20"/>
  <c r="C80" i="20"/>
  <c r="E42" i="14"/>
  <c r="D86" i="20"/>
  <c r="D87" i="20"/>
  <c r="D89" i="20"/>
  <c r="D90" i="20"/>
  <c r="C85" i="20"/>
  <c r="C86" i="20"/>
  <c r="C87" i="20"/>
  <c r="C88" i="20"/>
  <c r="C89" i="20"/>
  <c r="C90" i="20"/>
  <c r="C91" i="20"/>
  <c r="B85" i="20"/>
  <c r="B86" i="20"/>
  <c r="B87" i="20"/>
  <c r="B88" i="20"/>
  <c r="B89" i="20"/>
  <c r="B90" i="20"/>
  <c r="B91" i="20"/>
  <c r="D88" i="20" l="1"/>
  <c r="D40" i="20"/>
  <c r="D27" i="20"/>
  <c r="E98" i="20"/>
  <c r="E97" i="20"/>
  <c r="C68" i="20"/>
  <c r="B68" i="20"/>
  <c r="D39" i="20"/>
  <c r="D46" i="20"/>
  <c r="D47" i="20"/>
  <c r="D49" i="20"/>
  <c r="D50" i="20"/>
  <c r="D60" i="20"/>
  <c r="D62" i="20"/>
  <c r="D66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8" i="20"/>
  <c r="A38" i="20"/>
  <c r="D24" i="20" l="1"/>
  <c r="E30" i="14"/>
  <c r="D29" i="20" s="1"/>
  <c r="E29" i="14"/>
  <c r="D28" i="20" s="1"/>
  <c r="D36" i="20"/>
  <c r="E31" i="14" l="1"/>
  <c r="D30" i="20" s="1"/>
  <c r="D91" i="20"/>
  <c r="D71" i="20"/>
  <c r="D65" i="20"/>
  <c r="D64" i="20"/>
  <c r="D51" i="20"/>
  <c r="D63" i="20"/>
  <c r="D53" i="20"/>
  <c r="E233" i="18" l="1"/>
  <c r="G233" i="18" s="1"/>
  <c r="G239" i="18"/>
  <c r="G238" i="18"/>
  <c r="G237" i="18"/>
  <c r="G236" i="18"/>
  <c r="G234" i="18"/>
  <c r="G232" i="18"/>
  <c r="G231" i="18"/>
  <c r="G230" i="18"/>
  <c r="G229" i="18"/>
  <c r="G228" i="18"/>
  <c r="G226" i="18"/>
  <c r="E83" i="14"/>
  <c r="D80" i="20" s="1"/>
  <c r="D61" i="20"/>
  <c r="D59" i="20"/>
  <c r="D58" i="20"/>
  <c r="G235" i="18" l="1"/>
  <c r="G227" i="18"/>
  <c r="E213" i="18"/>
  <c r="E212" i="18"/>
  <c r="G240" i="18" l="1"/>
  <c r="E219" i="18"/>
  <c r="G219" i="18" s="1"/>
  <c r="E218" i="18"/>
  <c r="G218" i="18" s="1"/>
  <c r="E217" i="18"/>
  <c r="G217" i="18" s="1"/>
  <c r="E214" i="18"/>
  <c r="G214" i="18" s="1"/>
  <c r="G216" i="18"/>
  <c r="G213" i="18"/>
  <c r="G212" i="18"/>
  <c r="G241" i="18" l="1"/>
  <c r="G242" i="18" s="1"/>
  <c r="R67" i="14"/>
  <c r="E215" i="18"/>
  <c r="G215" i="18" s="1"/>
  <c r="G220" i="18" s="1"/>
  <c r="D48" i="20"/>
  <c r="I51" i="14"/>
  <c r="J51" i="14" s="1"/>
  <c r="I55" i="14"/>
  <c r="D52" i="20"/>
  <c r="G221" i="18" l="1"/>
  <c r="G222" i="18" s="1"/>
  <c r="R61" i="14"/>
  <c r="K51" i="14"/>
  <c r="L51" i="14" s="1"/>
  <c r="O51" i="14"/>
  <c r="G205" i="18"/>
  <c r="G204" i="18"/>
  <c r="G203" i="18"/>
  <c r="G202" i="18"/>
  <c r="G201" i="18"/>
  <c r="G200" i="18"/>
  <c r="G199" i="18"/>
  <c r="G198" i="18"/>
  <c r="M51" i="14" l="1"/>
  <c r="G206" i="18"/>
  <c r="E2" i="20"/>
  <c r="B6" i="20"/>
  <c r="B5" i="20"/>
  <c r="B4" i="20"/>
  <c r="B3" i="20"/>
  <c r="A6" i="20"/>
  <c r="A5" i="20"/>
  <c r="A4" i="20"/>
  <c r="A3" i="20"/>
  <c r="A2" i="20"/>
  <c r="G207" i="18" l="1"/>
  <c r="G208" i="18" s="1"/>
  <c r="R60" i="14"/>
  <c r="G191" i="18"/>
  <c r="G190" i="18"/>
  <c r="G189" i="18"/>
  <c r="G188" i="18"/>
  <c r="G187" i="18"/>
  <c r="G192" i="18" l="1"/>
  <c r="J118" i="18"/>
  <c r="F118" i="18" s="1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G193" i="18" l="1"/>
  <c r="G194" i="18" s="1"/>
  <c r="R37" i="14"/>
  <c r="D76" i="20"/>
  <c r="D35" i="20"/>
  <c r="D25" i="20" l="1"/>
  <c r="D26" i="20"/>
  <c r="C83" i="20" l="1"/>
  <c r="C22" i="20"/>
  <c r="C18" i="20"/>
  <c r="C19" i="20"/>
  <c r="C20" i="20"/>
  <c r="C17" i="20"/>
  <c r="B83" i="20"/>
  <c r="B22" i="20"/>
  <c r="B18" i="20"/>
  <c r="B19" i="20"/>
  <c r="B20" i="20"/>
  <c r="B17" i="20"/>
  <c r="J47" i="20"/>
  <c r="I48" i="20"/>
  <c r="K48" i="20" s="1"/>
  <c r="J49" i="20"/>
  <c r="K50" i="20"/>
  <c r="J50" i="20"/>
  <c r="I51" i="20"/>
  <c r="J51" i="20" s="1"/>
  <c r="K51" i="20"/>
  <c r="O51" i="20"/>
  <c r="I52" i="20"/>
  <c r="O52" i="20" s="1"/>
  <c r="J53" i="20"/>
  <c r="K52" i="20" l="1"/>
  <c r="J52" i="20"/>
  <c r="O49" i="20"/>
  <c r="L51" i="20"/>
  <c r="M51" i="20" s="1"/>
  <c r="L50" i="20"/>
  <c r="K49" i="20"/>
  <c r="L49" i="20" s="1"/>
  <c r="O50" i="20"/>
  <c r="J48" i="20"/>
  <c r="L48" i="20" s="1"/>
  <c r="K47" i="20"/>
  <c r="L47" i="20" s="1"/>
  <c r="O53" i="20"/>
  <c r="K53" i="20"/>
  <c r="L53" i="20" s="1"/>
  <c r="O47" i="20"/>
  <c r="O48" i="20"/>
  <c r="D83" i="20"/>
  <c r="G84" i="20" s="1"/>
  <c r="D22" i="20"/>
  <c r="D18" i="20"/>
  <c r="D19" i="20"/>
  <c r="D20" i="20"/>
  <c r="D17" i="20"/>
  <c r="L52" i="20" l="1"/>
  <c r="M52" i="20" s="1"/>
  <c r="M49" i="20"/>
  <c r="M47" i="20"/>
  <c r="M48" i="20"/>
  <c r="M50" i="20"/>
  <c r="M53" i="20"/>
  <c r="B97" i="20"/>
  <c r="B24" i="11" l="1"/>
  <c r="C36" i="11"/>
  <c r="J36" i="11"/>
  <c r="J37" i="11"/>
  <c r="K55" i="14"/>
  <c r="I53" i="14"/>
  <c r="O53" i="14" s="1"/>
  <c r="O55" i="14" l="1"/>
  <c r="J55" i="14"/>
  <c r="L55" i="14" s="1"/>
  <c r="K53" i="14"/>
  <c r="J53" i="14"/>
  <c r="L53" i="14" l="1"/>
  <c r="M53" i="14" s="1"/>
  <c r="M55" i="14"/>
  <c r="E29" i="18"/>
  <c r="H73" i="14" l="1"/>
  <c r="H35" i="14"/>
  <c r="E9" i="18"/>
  <c r="A6" i="11" l="1"/>
  <c r="A5" i="11"/>
  <c r="A4" i="11"/>
  <c r="E43" i="14"/>
  <c r="D41" i="20" s="1"/>
  <c r="E44" i="14" l="1"/>
  <c r="D42" i="20" s="1"/>
  <c r="I54" i="14"/>
  <c r="O54" i="14" s="1"/>
  <c r="I52" i="14"/>
  <c r="J52" i="14" s="1"/>
  <c r="I50" i="14"/>
  <c r="O50" i="14" s="1"/>
  <c r="I49" i="14"/>
  <c r="K49" i="14" s="1"/>
  <c r="I48" i="14"/>
  <c r="K48" i="14" s="1"/>
  <c r="O49" i="14" l="1"/>
  <c r="K50" i="14"/>
  <c r="K54" i="14"/>
  <c r="K52" i="14"/>
  <c r="L52" i="14" s="1"/>
  <c r="J48" i="14"/>
  <c r="L48" i="14" s="1"/>
  <c r="O48" i="14"/>
  <c r="J50" i="14"/>
  <c r="O52" i="14"/>
  <c r="J49" i="14"/>
  <c r="L49" i="14" s="1"/>
  <c r="J54" i="14"/>
  <c r="E45" i="14" l="1"/>
  <c r="D43" i="20" s="1"/>
  <c r="E46" i="14"/>
  <c r="D44" i="20" s="1"/>
  <c r="M49" i="14"/>
  <c r="L50" i="14"/>
  <c r="M50" i="14" s="1"/>
  <c r="L54" i="14"/>
  <c r="M54" i="14" s="1"/>
  <c r="M52" i="14"/>
  <c r="M48" i="14"/>
  <c r="E40" i="14" l="1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D38" i="20" l="1"/>
  <c r="E56" i="14"/>
  <c r="E57" i="14" s="1"/>
  <c r="E59" i="14" s="1"/>
  <c r="G181" i="18"/>
  <c r="D54" i="20" l="1"/>
  <c r="D55" i="20"/>
  <c r="G182" i="18"/>
  <c r="G183" i="18" s="1"/>
  <c r="D57" i="20"/>
  <c r="E58" i="14" l="1"/>
  <c r="D56" i="20" s="1"/>
  <c r="D32" i="20"/>
  <c r="A7" i="11" l="1"/>
  <c r="G134" i="18"/>
  <c r="G135" i="18"/>
  <c r="G136" i="18"/>
  <c r="G137" i="18"/>
  <c r="G138" i="18"/>
  <c r="G133" i="18"/>
  <c r="G139" i="18" l="1"/>
  <c r="G140" i="18" l="1"/>
  <c r="G141" i="18" s="1"/>
  <c r="R52" i="14"/>
  <c r="G55" i="18" l="1"/>
  <c r="G53" i="18"/>
  <c r="G9" i="18"/>
  <c r="G5" i="18"/>
  <c r="G10" i="18" l="1"/>
  <c r="R17" i="14" l="1"/>
  <c r="G11" i="18"/>
  <c r="G12" i="18" s="1"/>
  <c r="E37" i="12"/>
  <c r="E36" i="12"/>
  <c r="B36" i="12"/>
  <c r="D55" i="13"/>
  <c r="D54" i="13"/>
  <c r="C54" i="13"/>
  <c r="B14" i="11"/>
  <c r="B7" i="11"/>
  <c r="B6" i="11"/>
  <c r="B5" i="11"/>
  <c r="B4" i="11"/>
  <c r="L2" i="11" l="1"/>
  <c r="F2" i="12"/>
  <c r="A3" i="12"/>
  <c r="A2" i="12"/>
  <c r="B3" i="13"/>
  <c r="B2" i="13"/>
  <c r="E2" i="13"/>
  <c r="G51" i="18"/>
  <c r="E75" i="14"/>
  <c r="D72" i="20" s="1"/>
  <c r="E72" i="14"/>
  <c r="D69" i="20" s="1"/>
  <c r="E32" i="14" l="1"/>
  <c r="D31" i="20" s="1"/>
  <c r="E73" i="14"/>
  <c r="D70" i="20" s="1"/>
  <c r="G31" i="18" l="1"/>
  <c r="G41" i="18"/>
  <c r="G40" i="18"/>
  <c r="G39" i="18"/>
  <c r="G54" i="18" l="1"/>
  <c r="G52" i="18"/>
  <c r="G50" i="18"/>
  <c r="G42" i="18"/>
  <c r="G43" i="18"/>
  <c r="G30" i="18"/>
  <c r="G37" i="18"/>
  <c r="G33" i="18"/>
  <c r="G34" i="18"/>
  <c r="G36" i="18"/>
  <c r="G35" i="18"/>
  <c r="G29" i="18"/>
  <c r="G38" i="18"/>
  <c r="G56" i="18" l="1"/>
  <c r="G44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E126" i="18"/>
  <c r="G126" i="18" s="1"/>
  <c r="E125" i="18"/>
  <c r="G125" i="18" s="1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04" i="18"/>
  <c r="G103" i="18"/>
  <c r="G102" i="18"/>
  <c r="G101" i="18"/>
  <c r="G100" i="18"/>
  <c r="G99" i="18"/>
  <c r="G98" i="18"/>
  <c r="G97" i="18"/>
  <c r="G96" i="18"/>
  <c r="G95" i="18"/>
  <c r="E87" i="18"/>
  <c r="G87" i="18" s="1"/>
  <c r="E86" i="18"/>
  <c r="G86" i="18" s="1"/>
  <c r="G85" i="18"/>
  <c r="G84" i="18"/>
  <c r="G83" i="18"/>
  <c r="G82" i="18"/>
  <c r="G81" i="18"/>
  <c r="G80" i="18"/>
  <c r="G79" i="18"/>
  <c r="G78" i="18"/>
  <c r="E71" i="18"/>
  <c r="G71" i="18" s="1"/>
  <c r="E70" i="18"/>
  <c r="G70" i="18" s="1"/>
  <c r="G69" i="18"/>
  <c r="G68" i="18"/>
  <c r="G67" i="18"/>
  <c r="G66" i="18"/>
  <c r="G65" i="18"/>
  <c r="G64" i="18"/>
  <c r="G63" i="18"/>
  <c r="G62" i="18"/>
  <c r="G22" i="18"/>
  <c r="G21" i="18"/>
  <c r="G20" i="18"/>
  <c r="G19" i="18"/>
  <c r="G18" i="18"/>
  <c r="G17" i="18"/>
  <c r="G16" i="18"/>
  <c r="G45" i="18" l="1"/>
  <c r="G46" i="18" s="1"/>
  <c r="R19" i="14"/>
  <c r="R20" i="14"/>
  <c r="G57" i="18"/>
  <c r="G58" i="18" s="1"/>
  <c r="G160" i="18"/>
  <c r="G72" i="18"/>
  <c r="G23" i="18"/>
  <c r="G127" i="18"/>
  <c r="G88" i="18"/>
  <c r="G128" i="18" l="1"/>
  <c r="G129" i="18" s="1"/>
  <c r="F94" i="18"/>
  <c r="G161" i="18"/>
  <c r="G162" i="18" s="1"/>
  <c r="R66" i="14"/>
  <c r="R79" i="14"/>
  <c r="G89" i="18"/>
  <c r="G90" i="18" s="1"/>
  <c r="R78" i="14"/>
  <c r="G73" i="18"/>
  <c r="G74" i="18" s="1"/>
  <c r="G24" i="18"/>
  <c r="G25" i="18" s="1"/>
  <c r="R18" i="14"/>
  <c r="G94" i="18"/>
  <c r="G105" i="18" s="1"/>
  <c r="R80" i="14" l="1"/>
  <c r="G106" i="18"/>
  <c r="G107" i="18" s="1"/>
  <c r="E80" i="14" l="1"/>
  <c r="D77" i="20" s="1"/>
  <c r="E81" i="14" l="1"/>
  <c r="D78" i="20" s="1"/>
  <c r="A2" i="11" l="1"/>
  <c r="A97" i="14" l="1"/>
  <c r="A69" i="14"/>
  <c r="H47" i="14"/>
  <c r="A85" i="14"/>
  <c r="E82" i="14"/>
  <c r="D79" i="20" s="1"/>
  <c r="H76" i="14"/>
  <c r="E76" i="14" s="1"/>
  <c r="D73" i="20" s="1"/>
  <c r="A38" i="14"/>
  <c r="A21" i="14"/>
  <c r="B26" i="11" l="1"/>
  <c r="B25" i="11"/>
  <c r="B28" i="11"/>
  <c r="B27" i="11"/>
  <c r="B17" i="11"/>
  <c r="B16" i="11"/>
  <c r="B15" i="11"/>
  <c r="B18" i="11"/>
  <c r="E47" i="14"/>
  <c r="D45" i="20" s="1"/>
  <c r="M48" i="13" l="1"/>
  <c r="L48" i="13"/>
  <c r="D48" i="13" s="1"/>
  <c r="K48" i="13"/>
  <c r="J48" i="13"/>
  <c r="E48" i="13"/>
  <c r="E47" i="13"/>
  <c r="D47" i="13"/>
  <c r="E46" i="13"/>
  <c r="D46" i="13"/>
  <c r="M44" i="13"/>
  <c r="E44" i="13" s="1"/>
  <c r="L44" i="13"/>
  <c r="D44" i="13" s="1"/>
  <c r="K44" i="13"/>
  <c r="J44" i="13"/>
  <c r="E43" i="13"/>
  <c r="D43" i="13"/>
  <c r="E42" i="13"/>
  <c r="D42" i="13"/>
  <c r="E41" i="13"/>
  <c r="D41" i="13"/>
  <c r="E40" i="13"/>
  <c r="D40" i="13"/>
  <c r="E39" i="13"/>
  <c r="D39" i="13"/>
  <c r="M37" i="13"/>
  <c r="E37" i="13" s="1"/>
  <c r="L37" i="13"/>
  <c r="D37" i="13" s="1"/>
  <c r="K37" i="13"/>
  <c r="J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M25" i="13"/>
  <c r="M49" i="13" s="1"/>
  <c r="E49" i="13" s="1"/>
  <c r="L25" i="13"/>
  <c r="L49" i="13" s="1"/>
  <c r="K25" i="13"/>
  <c r="J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J49" i="13" l="1"/>
  <c r="K49" i="13"/>
  <c r="D25" i="13"/>
  <c r="E25" i="13"/>
  <c r="L50" i="13"/>
  <c r="D50" i="13" s="1"/>
  <c r="D49" i="13"/>
  <c r="J50" i="13" l="1"/>
  <c r="F20" i="12"/>
  <c r="F18" i="12"/>
  <c r="F17" i="12"/>
  <c r="F16" i="12"/>
  <c r="F15" i="12"/>
  <c r="F26" i="12" l="1"/>
  <c r="Q14" i="14" s="1"/>
  <c r="Q88" i="14" l="1"/>
  <c r="F88" i="14" s="1"/>
  <c r="G88" i="14" s="1"/>
  <c r="Q94" i="14"/>
  <c r="F94" i="14" s="1"/>
  <c r="G94" i="14" s="1"/>
  <c r="Q93" i="14"/>
  <c r="F93" i="14" s="1"/>
  <c r="G93" i="14" s="1"/>
  <c r="Q96" i="14"/>
  <c r="F96" i="14" s="1"/>
  <c r="G96" i="14" s="1"/>
  <c r="Q95" i="14"/>
  <c r="F95" i="14" s="1"/>
  <c r="G95" i="14" s="1"/>
  <c r="Q84" i="14"/>
  <c r="F84" i="14" s="1"/>
  <c r="G84" i="14" s="1"/>
  <c r="Q91" i="14"/>
  <c r="F91" i="14" s="1"/>
  <c r="G91" i="14" s="1"/>
  <c r="Q90" i="14"/>
  <c r="F90" i="14" s="1"/>
  <c r="G90" i="14" s="1"/>
  <c r="Q51" i="14"/>
  <c r="F51" i="14" s="1"/>
  <c r="G51" i="14" s="1"/>
  <c r="Q30" i="14"/>
  <c r="F30" i="14" s="1"/>
  <c r="G30" i="14" s="1"/>
  <c r="Q67" i="14"/>
  <c r="F67" i="14" s="1"/>
  <c r="G67" i="14" s="1"/>
  <c r="Q37" i="14"/>
  <c r="F37" i="14" s="1"/>
  <c r="G37" i="14" s="1"/>
  <c r="Q28" i="14"/>
  <c r="F28" i="14" s="1"/>
  <c r="G28" i="14" s="1"/>
  <c r="Q89" i="14"/>
  <c r="F89" i="14" s="1"/>
  <c r="G89" i="14" s="1"/>
  <c r="Q31" i="14"/>
  <c r="F31" i="14" s="1"/>
  <c r="G31" i="14" s="1"/>
  <c r="Q29" i="14"/>
  <c r="F29" i="14" s="1"/>
  <c r="G29" i="14" s="1"/>
  <c r="Q61" i="14"/>
  <c r="F61" i="14" s="1"/>
  <c r="G61" i="14" s="1"/>
  <c r="Q60" i="14"/>
  <c r="F60" i="14" s="1"/>
  <c r="G60" i="14" s="1"/>
  <c r="Q83" i="14"/>
  <c r="F83" i="14" s="1"/>
  <c r="G83" i="14" s="1"/>
  <c r="Q63" i="14"/>
  <c r="F63" i="14" s="1"/>
  <c r="G63" i="14" s="1"/>
  <c r="Q55" i="14"/>
  <c r="F55" i="14" s="1"/>
  <c r="G55" i="14" s="1"/>
  <c r="Q53" i="14"/>
  <c r="F53" i="14" s="1"/>
  <c r="G53" i="14" s="1"/>
  <c r="Q44" i="14"/>
  <c r="F44" i="14" s="1"/>
  <c r="G44" i="14" s="1"/>
  <c r="Q43" i="14"/>
  <c r="F43" i="14" s="1"/>
  <c r="G43" i="14" s="1"/>
  <c r="Q64" i="14"/>
  <c r="F64" i="14" s="1"/>
  <c r="G64" i="14" s="1"/>
  <c r="Q62" i="14"/>
  <c r="F62" i="14" s="1"/>
  <c r="G62" i="14" s="1"/>
  <c r="Q65" i="14"/>
  <c r="F65" i="14" s="1"/>
  <c r="G65" i="14" s="1"/>
  <c r="Q54" i="14"/>
  <c r="F54" i="14" s="1"/>
  <c r="G54" i="14" s="1"/>
  <c r="Q48" i="14"/>
  <c r="F48" i="14" s="1"/>
  <c r="G48" i="14" s="1"/>
  <c r="Q27" i="14"/>
  <c r="F27" i="14" s="1"/>
  <c r="G27" i="14" s="1"/>
  <c r="Q52" i="14"/>
  <c r="F52" i="14" s="1"/>
  <c r="G52" i="14" s="1"/>
  <c r="Q33" i="14"/>
  <c r="F33" i="14" s="1"/>
  <c r="G33" i="14" s="1"/>
  <c r="Q73" i="14"/>
  <c r="F73" i="14" s="1"/>
  <c r="G73" i="14" s="1"/>
  <c r="Q34" i="14"/>
  <c r="F34" i="14" s="1"/>
  <c r="Q59" i="14"/>
  <c r="F59" i="14" s="1"/>
  <c r="G59" i="14" s="1"/>
  <c r="Q81" i="14"/>
  <c r="F81" i="14" s="1"/>
  <c r="G81" i="14" s="1"/>
  <c r="Q75" i="14"/>
  <c r="F75" i="14" s="1"/>
  <c r="G75" i="14" s="1"/>
  <c r="Q72" i="14"/>
  <c r="F72" i="14" s="1"/>
  <c r="G72" i="14" s="1"/>
  <c r="Q42" i="14"/>
  <c r="F42" i="14" s="1"/>
  <c r="G42" i="14" s="1"/>
  <c r="Q40" i="14"/>
  <c r="F40" i="14" s="1"/>
  <c r="G40" i="14" s="1"/>
  <c r="Q57" i="14"/>
  <c r="F57" i="14" s="1"/>
  <c r="G57" i="14" s="1"/>
  <c r="Q45" i="14"/>
  <c r="F45" i="14" s="1"/>
  <c r="G45" i="14" s="1"/>
  <c r="Q20" i="14"/>
  <c r="F20" i="14" s="1"/>
  <c r="G20" i="14" s="1"/>
  <c r="Q17" i="14"/>
  <c r="F17" i="14" s="1"/>
  <c r="G17" i="14" s="1"/>
  <c r="Q68" i="14"/>
  <c r="F68" i="14" s="1"/>
  <c r="G68" i="14" s="1"/>
  <c r="Q79" i="14"/>
  <c r="F79" i="14" s="1"/>
  <c r="G79" i="14" s="1"/>
  <c r="Q56" i="14"/>
  <c r="F56" i="14" s="1"/>
  <c r="G56" i="14" s="1"/>
  <c r="Q25" i="14"/>
  <c r="F25" i="14" s="1"/>
  <c r="G25" i="14" s="1"/>
  <c r="Q36" i="14"/>
  <c r="F36" i="14" s="1"/>
  <c r="G36" i="14" s="1"/>
  <c r="Q19" i="14"/>
  <c r="F19" i="14" s="1"/>
  <c r="G19" i="14" s="1"/>
  <c r="Q80" i="14"/>
  <c r="F80" i="14" s="1"/>
  <c r="G80" i="14" s="1"/>
  <c r="Q92" i="14"/>
  <c r="F92" i="14" s="1"/>
  <c r="G92" i="14" s="1"/>
  <c r="Q66" i="14"/>
  <c r="F66" i="14" s="1"/>
  <c r="G66" i="14" s="1"/>
  <c r="Q77" i="14"/>
  <c r="F77" i="14" s="1"/>
  <c r="G77" i="14" s="1"/>
  <c r="Q58" i="14"/>
  <c r="F58" i="14" s="1"/>
  <c r="G58" i="14" s="1"/>
  <c r="Q24" i="14"/>
  <c r="F24" i="14" s="1"/>
  <c r="G24" i="14" s="1"/>
  <c r="Q50" i="14"/>
  <c r="F50" i="14" s="1"/>
  <c r="G50" i="14" s="1"/>
  <c r="Q41" i="14"/>
  <c r="F41" i="14" s="1"/>
  <c r="G41" i="14" s="1"/>
  <c r="Q87" i="14"/>
  <c r="F87" i="14" s="1"/>
  <c r="G87" i="14" s="1"/>
  <c r="Q49" i="14"/>
  <c r="F49" i="14" s="1"/>
  <c r="G49" i="14" s="1"/>
  <c r="Q76" i="14"/>
  <c r="F76" i="14" s="1"/>
  <c r="G76" i="14" s="1"/>
  <c r="Q78" i="14"/>
  <c r="F78" i="14" s="1"/>
  <c r="G78" i="14" s="1"/>
  <c r="Q23" i="14"/>
  <c r="F23" i="14" s="1"/>
  <c r="G23" i="14" s="1"/>
  <c r="Q32" i="14"/>
  <c r="F32" i="14" s="1"/>
  <c r="G32" i="14" s="1"/>
  <c r="Q46" i="14"/>
  <c r="F46" i="14" s="1"/>
  <c r="G46" i="14" s="1"/>
  <c r="Q47" i="14"/>
  <c r="F47" i="14" s="1"/>
  <c r="G47" i="14" s="1"/>
  <c r="Q82" i="14"/>
  <c r="F82" i="14" s="1"/>
  <c r="G82" i="14" s="1"/>
  <c r="Q74" i="14"/>
  <c r="F74" i="14" s="1"/>
  <c r="G74" i="14" s="1"/>
  <c r="Q35" i="14"/>
  <c r="F35" i="14" s="1"/>
  <c r="Q18" i="14"/>
  <c r="F18" i="14" s="1"/>
  <c r="G18" i="14" s="1"/>
  <c r="Q71" i="14"/>
  <c r="F71" i="14" s="1"/>
  <c r="G71" i="14" s="1"/>
  <c r="Q26" i="14"/>
  <c r="F26" i="14" s="1"/>
  <c r="G26" i="14" s="1"/>
  <c r="G85" i="14" l="1"/>
  <c r="C17" i="11" s="1"/>
  <c r="G69" i="14"/>
  <c r="G21" i="14"/>
  <c r="C14" i="11" s="1"/>
  <c r="G97" i="14"/>
  <c r="C18" i="11" s="1"/>
  <c r="F17" i="11" l="1"/>
  <c r="C16" i="11"/>
  <c r="C26" i="11" s="1"/>
  <c r="C27" i="11"/>
  <c r="C28" i="11"/>
  <c r="H18" i="11"/>
  <c r="L18" i="11"/>
  <c r="J18" i="11"/>
  <c r="F18" i="11"/>
  <c r="H17" i="11"/>
  <c r="L17" i="11"/>
  <c r="J17" i="11"/>
  <c r="C24" i="11"/>
  <c r="J16" i="11" l="1"/>
  <c r="F16" i="11"/>
  <c r="H16" i="11"/>
  <c r="L16" i="11"/>
  <c r="H26" i="11"/>
  <c r="F26" i="11"/>
  <c r="H28" i="11"/>
  <c r="F28" i="11"/>
  <c r="S18" i="11" s="1"/>
  <c r="H27" i="11"/>
  <c r="F27" i="11"/>
  <c r="H24" i="11"/>
  <c r="F24" i="11"/>
  <c r="J14" i="11"/>
  <c r="L14" i="11"/>
  <c r="H14" i="11"/>
  <c r="F14" i="11"/>
  <c r="S17" i="11" l="1"/>
  <c r="R16" i="11"/>
  <c r="S16" i="11"/>
  <c r="R17" i="11"/>
  <c r="R18" i="11"/>
  <c r="R14" i="11"/>
  <c r="S14" i="11"/>
  <c r="E35" i="14"/>
  <c r="D34" i="20" s="1"/>
  <c r="D33" i="20"/>
  <c r="G34" i="14"/>
  <c r="G35" i="14" l="1"/>
  <c r="G38" i="14" s="1"/>
  <c r="C15" i="11" l="1"/>
  <c r="G98" i="14"/>
  <c r="Q102" i="14" l="1"/>
  <c r="H98" i="14"/>
  <c r="H15" i="11"/>
  <c r="H19" i="11" s="1"/>
  <c r="C19" i="11"/>
  <c r="D15" i="11" s="1"/>
  <c r="J15" i="11"/>
  <c r="J19" i="11" s="1"/>
  <c r="F15" i="11"/>
  <c r="C25" i="11"/>
  <c r="L15" i="11"/>
  <c r="L19" i="11" s="1"/>
  <c r="D20" i="11" l="1"/>
  <c r="D14" i="11"/>
  <c r="D26" i="11"/>
  <c r="D18" i="11"/>
  <c r="D28" i="11"/>
  <c r="D30" i="11"/>
  <c r="D16" i="11"/>
  <c r="D24" i="11"/>
  <c r="D17" i="11"/>
  <c r="D27" i="11"/>
  <c r="F19" i="11"/>
  <c r="G19" i="11"/>
  <c r="D25" i="11"/>
  <c r="F25" i="11"/>
  <c r="F29" i="11" s="1"/>
  <c r="H25" i="11"/>
  <c r="H29" i="11" s="1"/>
  <c r="C29" i="11"/>
  <c r="I19" i="11"/>
  <c r="K19" i="11"/>
  <c r="D29" i="11" l="1"/>
  <c r="S15" i="11"/>
  <c r="R15" i="11"/>
  <c r="D19" i="11"/>
  <c r="F20" i="11"/>
  <c r="H20" i="11" s="1"/>
  <c r="J20" i="11" s="1"/>
  <c r="L20" i="11" s="1"/>
  <c r="F30" i="11" s="1"/>
  <c r="H30" i="11" s="1"/>
  <c r="E19" i="11"/>
  <c r="E20" i="11" s="1"/>
  <c r="G20" i="11" s="1"/>
  <c r="I20" i="11" s="1"/>
  <c r="K20" i="11" s="1"/>
  <c r="G29" i="11"/>
  <c r="E29" i="11"/>
  <c r="E30" i="11" l="1"/>
  <c r="G30" i="11" s="1"/>
</calcChain>
</file>

<file path=xl/sharedStrings.xml><?xml version="1.0" encoding="utf-8"?>
<sst xmlns="http://schemas.openxmlformats.org/spreadsheetml/2006/main" count="1348" uniqueCount="563">
  <si>
    <t>SERVIÇOS</t>
  </si>
  <si>
    <t>ITEM</t>
  </si>
  <si>
    <t>QUANTIDADE</t>
  </si>
  <si>
    <t>1.1</t>
  </si>
  <si>
    <t>2.1</t>
  </si>
  <si>
    <t>2.2</t>
  </si>
  <si>
    <t>2.3</t>
  </si>
  <si>
    <t>2.4</t>
  </si>
  <si>
    <t>2.5</t>
  </si>
  <si>
    <t>2.6</t>
  </si>
  <si>
    <t>UNID.</t>
  </si>
  <si>
    <t>SERVIÇOS INICIAIS</t>
  </si>
  <si>
    <t>3.1</t>
  </si>
  <si>
    <t>3.2</t>
  </si>
  <si>
    <t>3.3</t>
  </si>
  <si>
    <t>3.4</t>
  </si>
  <si>
    <t>4.1</t>
  </si>
  <si>
    <t>PAVIMENTAÇÃO</t>
  </si>
  <si>
    <t>5.1</t>
  </si>
  <si>
    <t>5.2</t>
  </si>
  <si>
    <t>5.3</t>
  </si>
  <si>
    <t>4.3</t>
  </si>
  <si>
    <t>TERRAPLENAGEM</t>
  </si>
  <si>
    <t>3.9</t>
  </si>
  <si>
    <t>3.10</t>
  </si>
  <si>
    <t>3.5</t>
  </si>
  <si>
    <t>3.6</t>
  </si>
  <si>
    <t>3.7</t>
  </si>
  <si>
    <t>3.8</t>
  </si>
  <si>
    <t>VALOR
TOTAL</t>
  </si>
  <si>
    <t>CÓDIGO</t>
  </si>
  <si>
    <t>SICRO</t>
  </si>
  <si>
    <t>M2</t>
  </si>
  <si>
    <t>M3</t>
  </si>
  <si>
    <t>PREÇOS UNITÁRIOS
S/ BDI</t>
  </si>
  <si>
    <t>T</t>
  </si>
  <si>
    <t>DRENAGEM</t>
  </si>
  <si>
    <t>M</t>
  </si>
  <si>
    <t>POSTE PARA PLACA DE REGULAMENTAÇÃO</t>
  </si>
  <si>
    <t>BDI:</t>
  </si>
  <si>
    <t>UN</t>
  </si>
  <si>
    <t>DMT:</t>
  </si>
  <si>
    <t>SINALIZAÇÃO</t>
  </si>
  <si>
    <t>TACHA BIDIRECIONAL</t>
  </si>
  <si>
    <t>4.4</t>
  </si>
  <si>
    <t>4.5</t>
  </si>
  <si>
    <t>4.6</t>
  </si>
  <si>
    <t>5.4</t>
  </si>
  <si>
    <t>LOCAL:</t>
  </si>
  <si>
    <t xml:space="preserve">TRECHO: </t>
  </si>
  <si>
    <t>ÁREA:</t>
  </si>
  <si>
    <t>TOTAL :</t>
  </si>
  <si>
    <t>1.2</t>
  </si>
  <si>
    <t>SERVIÇOS TOPOGRÁFICOS PARA PAVIMENTAÇÃO</t>
  </si>
  <si>
    <t>DESCRIÇÃO DOS SERVIÇOS</t>
  </si>
  <si>
    <t>TOTAL</t>
  </si>
  <si>
    <t>%</t>
  </si>
  <si>
    <t>1º MÊS</t>
  </si>
  <si>
    <t>2º MÊS</t>
  </si>
  <si>
    <t>3º MÊS</t>
  </si>
  <si>
    <t>4º MÊS</t>
  </si>
  <si>
    <t>% mês</t>
  </si>
  <si>
    <t>R$</t>
  </si>
  <si>
    <t>TOTAIS</t>
  </si>
  <si>
    <t xml:space="preserve"> </t>
  </si>
  <si>
    <t>TOTAL ACUMULADO (R$)</t>
  </si>
  <si>
    <t>Cálculo do BDI conforme Acórdão 2622/2013 TCU</t>
  </si>
  <si>
    <t>TIPO DE OBRA:</t>
  </si>
  <si>
    <t>2 - Construção de Rodovias e Ferrovias</t>
  </si>
  <si>
    <t>ITEM COMPONENTE DO BDI</t>
  </si>
  <si>
    <t>MÍNIMO</t>
  </si>
  <si>
    <t>MÉDIO</t>
  </si>
  <si>
    <t>MÁXIMO</t>
  </si>
  <si>
    <t>ADOTADO</t>
  </si>
  <si>
    <t>Administração central (AC)</t>
  </si>
  <si>
    <t>Seguros e Garantia (S + G)</t>
  </si>
  <si>
    <t>Riscos (R )</t>
  </si>
  <si>
    <t>Despesas Financeiras (DF)</t>
  </si>
  <si>
    <t>Lucro (L)</t>
  </si>
  <si>
    <t>Tributos (T)</t>
  </si>
  <si>
    <t>conforme Legislação Específica</t>
  </si>
  <si>
    <t>conforme Legislação</t>
  </si>
  <si>
    <t>Pis</t>
  </si>
  <si>
    <t>Cofins</t>
  </si>
  <si>
    <t>ISS</t>
  </si>
  <si>
    <t>CPRB</t>
  </si>
  <si>
    <t xml:space="preserve">CALCULADO </t>
  </si>
  <si>
    <t>BDI ADOTADO SEM DESONERAÇÃO</t>
  </si>
  <si>
    <t>Fórmula do BDI</t>
  </si>
  <si>
    <t>BDI =</t>
  </si>
  <si>
    <t>(1 + AC + S + G + R) * (1 + DF) * (1 + L)</t>
  </si>
  <si>
    <t>(1 - T)</t>
  </si>
  <si>
    <t>RIO GRANDE DO SUL</t>
  </si>
  <si>
    <t>ENCARGOS SOCIAIS SOBRE A MÃO DE OBRA</t>
  </si>
  <si>
    <t>DESCRIÇÃO</t>
  </si>
  <si>
    <t>SEM DESONERAÇÃO</t>
  </si>
  <si>
    <t>COM DESONERAÇÃO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</si>
  <si>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</si>
  <si>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</si>
  <si>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</si>
  <si>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</si>
  <si>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</si>
  <si>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</si>
  <si>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</si>
  <si>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</si>
  <si>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</si>
  <si>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</si>
  <si>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</si>
  <si>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</si>
  <si>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</si>
  <si>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</si>
  <si>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</si>
  <si>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</si>
  <si>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</si>
  <si>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</si>
  <si>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</si>
  <si>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</si>
  <si>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</si>
  <si>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</si>
  <si>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</si>
  <si>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</si>
  <si>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</si>
  <si>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</si>
  <si>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</si>
  <si>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</si>
  <si>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</si>
  <si>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</si>
  <si>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</si>
  <si>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</si>
  <si>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</si>
  <si>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</si>
  <si>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</si>
  <si>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</si>
  <si>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</si>
  <si>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</si>
  <si>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</si>
  <si>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</si>
  <si>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</si>
  <si>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</si>
  <si>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</si>
  <si>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</si>
  <si>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</si>
  <si>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</si>
  <si>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</si>
  <si>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</si>
  <si>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</si>
  <si>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</si>
  <si>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</si>
  <si>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</si>
  <si>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</si>
  <si>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</si>
  <si>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</si>
  <si>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</si>
  <si>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</si>
  <si>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</si>
  <si>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</si>
  <si>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</si>
  <si>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</si>
  <si>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</si>
  <si>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</si>
  <si>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</si>
  <si>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TOTAL(A+B+C+D)</t>
  </si>
  <si>
    <t>ENCARGOS SOCIAIS MÉDIO</t>
  </si>
  <si>
    <t>Média:</t>
  </si>
  <si>
    <t>PREFEITURA MUNICIPAL</t>
  </si>
  <si>
    <t>BDI - PLANILHA DE CÁLCULO</t>
  </si>
  <si>
    <t>SERVICOS TOPOGRAFICOS PARA PAVIMENTACAO, INCLUSIVE NOTA DE SERVICOS, ACOMPANHAMENTO E GREIDE</t>
  </si>
  <si>
    <t>SARRAFO NAO APARELHADO *2,5 X 10* CM, EM MACARANDUBA, ANGELIM OU EQUIVALENTE DA REGIAO -  BRUTA</t>
  </si>
  <si>
    <t xml:space="preserve">    M     </t>
  </si>
  <si>
    <t>TOPOGRAFO COM ENCARGOS COMPLEMENTARES</t>
  </si>
  <si>
    <t>H</t>
  </si>
  <si>
    <t>AUXILIAR DE TOPÓGRAFO COM ENCARGOS COMPLEMENTARES</t>
  </si>
  <si>
    <t>NIVELADOR COM ENCARGOS COMPLEMENTARES</t>
  </si>
  <si>
    <t>SERVENTE COM ENCARGOS COMPLEMENTARES</t>
  </si>
  <si>
    <t>DESENHISTA DETALHISTA COM ENCARGOS COMPLEMENTARES</t>
  </si>
  <si>
    <t>CAMINHONETE CABINE SIMPLES COM MOTOR 1.6 FLEX, CÂMBIO MANUAL, POTÊNCIA 101/104 CV, 2 PORTAS - CHP DIURNO. AF_11/2015</t>
  </si>
  <si>
    <t>CHP</t>
  </si>
  <si>
    <t>01</t>
  </si>
  <si>
    <t>CPU 01</t>
  </si>
  <si>
    <t>M3 x KM</t>
  </si>
  <si>
    <t>IMPRIMAÇÃO COM CM-30, INCLUSIVE ASFALTO E TRANSPORTE, TAXA= 0,8 L/M² A 1,6 L/M²</t>
  </si>
  <si>
    <t>EXECUÇÃO DE PINTURA DE LIGAÇÃO COM EMULSÃO ASFÁLTICA RR-2C. AF_11/2019</t>
  </si>
  <si>
    <t>EXECUÇÃO DE PINTURA DE LIGAÇÃO COM EMULSÃO ASFÁLTICA RR-2C</t>
  </si>
  <si>
    <t>EXECUÇÃO DE PAVIMENTO COM APLICAÇÃO DE CONCRETO ASFÁLTICO, CAMADA DE ROLAMENTO - EXCLUSIVE CARGA E TRANSPORTE (E = 5CM)</t>
  </si>
  <si>
    <t>MOBILIZAÇÃO E DESMOBILIZAÇÃO DE EQUIPAMENTOS</t>
  </si>
  <si>
    <t>ADMINISTRAÇÃO LOCAL DE OBRA</t>
  </si>
  <si>
    <t>CPU 02</t>
  </si>
  <si>
    <t>CPU 03</t>
  </si>
  <si>
    <t>MÊS</t>
  </si>
  <si>
    <t>1.3</t>
  </si>
  <si>
    <t>1.4</t>
  </si>
  <si>
    <t>3.11</t>
  </si>
  <si>
    <t>3.12</t>
  </si>
  <si>
    <t>CÓDIGOS</t>
  </si>
  <si>
    <t>UNIDADE</t>
  </si>
  <si>
    <t>COEFICIENTE</t>
  </si>
  <si>
    <t>02</t>
  </si>
  <si>
    <t>EXECUÇÃO DE IMPRIMAÇÃO COM ASFALTO DILUÍDO CM-30. AF_11/2019</t>
  </si>
  <si>
    <t/>
  </si>
  <si>
    <t>COMPOSIÇÃO</t>
  </si>
  <si>
    <t>VASSOURA MECÂNICA REBOCÁVEL COM ESCOVA CILÍNDRICA, LARGURA ÚTIL DE VARRIMENTO DE 2,44 M - CHP DIURNO. AF_06/2014</t>
  </si>
  <si>
    <t>VASSOURA MECÂNICA REBOCÁVEL COM ESCOVA CILÍNDRICA, LARGURA ÚTIL DE VARRIMENTO DE 2,44 M - CHI DIURNO. AF_06/2014</t>
  </si>
  <si>
    <t>CHI</t>
  </si>
  <si>
    <t>INSUMO</t>
  </si>
  <si>
    <t>KG</t>
  </si>
  <si>
    <t>ESPARGIDOR DE ASFALTO PRESSURIZADO, TANQUE 6 M3 COM ISOLAÇÃO TÉRMICA, AQUECIDO COM 2 MAÇARICOS, COM BARRA ESPARGIDORA 3,60 M, MONTADO SOBRE CAMINHÃO  TOCO, PBT 14.300 KG, POTÊNCIA 185 CV - CHP DIURNO. AF_08/2015</t>
  </si>
  <si>
    <t>TRATOR DE PNEUS, POTÊNCIA 85 CV, TRAÇÃO 4X4, PESO COM LASTRO DE 4.675 KG - CHP DIURNO. AF_06/2014</t>
  </si>
  <si>
    <t>TRATOR DE PNEUS, POTÊNCIA 85 CV, TRAÇÃO 4X4, PESO COM LASTRO DE 4.675 KG - CHI DIURNO. AF_06/2014</t>
  </si>
  <si>
    <t>ESPARGIDOR DE ASFALTO PRESSURIZADO, TANQUE 6 M3 COM ISOLAÇÃO TÉRMICA, AQUECIDO COM 2 MAÇARICOS, COM BARRA ESPARGIDORA 3,60 M, MONTADO SOBRE CAMINHÃO  TOCO, PBT 14.300 KG, POTÊNCIA 185 CV - CHI DIURNO. AF_08/2015</t>
  </si>
  <si>
    <t>COMPOSICAO</t>
  </si>
  <si>
    <t>TRANSPORTE COM CAMINHÃO TANQUE DE TRANSPORTE DE MATERIAL ASFÁLTICO DE 30000 L, EM VIA URBANA PAVIMENTADA, DMT ATÉ 30KM (UNIDADE: TXKM). AF_07/2020</t>
  </si>
  <si>
    <t>TXKM</t>
  </si>
  <si>
    <t>TRANSPORTE COM CAMINHÃO TANQUE DE TRANSPORTE DE MATERIAL ASFÁLTICO DE 30000 L, EM VIA URBANA PAVIMENTADA, ADICIONAL PARA DMT EXCEDENTE A 30 KM (UNIDADE: TXKM). AF_07/2020</t>
  </si>
  <si>
    <t>03</t>
  </si>
  <si>
    <t>0,0020000</t>
  </si>
  <si>
    <t>0,0040000</t>
  </si>
  <si>
    <t>0,4500000</t>
  </si>
  <si>
    <t>0,0004000</t>
  </si>
  <si>
    <t>0,0055000</t>
  </si>
  <si>
    <t>0,0017000</t>
  </si>
  <si>
    <t>0,0038000</t>
  </si>
  <si>
    <t>0,0051000</t>
  </si>
  <si>
    <t>EXECUÇÃO DE PAVIMENTO COM APLICAÇÃO DE CONCRETO ASFÁLTICO, CAMADA DE ROLAMENTO - EXCLUSIVE CARGA E TRANSPORTE. AF_11/2019</t>
  </si>
  <si>
    <t>USINAGEM DE CONCRETO ASFÁLTICO COM CAP 50/70, PARA CAMADA DE ROLAMENTO, PADRÃO DNIT FAIXA C, EM USINA DE ASFALTO CONTÍNUA DE 80 TON/H. AF_03/2020</t>
  </si>
  <si>
    <t>2,5548000</t>
  </si>
  <si>
    <t>VIBROACABADORA DE ASFALTO SOBRE ESTEIRAS, LARGURA DE PAVIMENTAÇÃO 1,90 M A 5,30 M, POTÊNCIA 105 HP CAPACIDADE 450 T/H - CHP DIURNO. AF_11/2014</t>
  </si>
  <si>
    <t>0,0464000</t>
  </si>
  <si>
    <t>VIBROACABADORA DE ASFALTO SOBRE ESTEIRAS, LARGURA DE PAVIMENTAÇÃO 1,90 M A 5,30 M, POTÊNCIA 105 HP CAPACIDADE 450 T/H - CHI DIURNO. AF_11/2014</t>
  </si>
  <si>
    <t>0,0949000</t>
  </si>
  <si>
    <t>RASTELEIRO COM ENCARGOS COMPLEMENTARES</t>
  </si>
  <si>
    <t>1,1301000</t>
  </si>
  <si>
    <t>CAMINHÃO BASCULANTE 10 M3, TRUCADO CABINE SIMPLES, PESO BRUTO TOTAL 23.000 KG, CARGA ÚTIL MÁXIMA 15.935 KG, DISTÂNCIA ENTRE EIXOS 4,80 M, POTÊNCIA 230 CV INCLUSIVE CAÇAMBA METÁLICA - CHP DIURNO. AF_06/2014</t>
  </si>
  <si>
    <t>ROLO COMPACTADOR VIBRATORIO TANDEM, ACO LISO, POTENCIA 125 HP, PESO SEM/COM LASTRO 10,20/11,65 T, LARGURA DE TRABALHO 1,73 M - CHP DIURNO. AF_11/2016</t>
  </si>
  <si>
    <t>0,0805000</t>
  </si>
  <si>
    <t>ROLO COMPACTADOR VIBRATORIO TANDEM, ACO LISO, POTENCIA 125 HP, PESO SEM/COM LASTRO 10,20/11,65 T, LARGURA DE TRABALHO 1,73 M - CHI DIURNO. AF_11/2016</t>
  </si>
  <si>
    <t>0,0607000</t>
  </si>
  <si>
    <t>TRATOR DE PNEUS COM POTÊNCIA DE 85 CV, TRAÇÃO 4X4, COM VASSOURA MECÂNICA ACOPLADA - CHI DIURNO. AF_02/2017</t>
  </si>
  <si>
    <t>0,1071000</t>
  </si>
  <si>
    <t>TRATOR DE PNEUS COM POTÊNCIA DE 85 CV, TRAÇÃO 4X4, COM VASSOURA MECÂNICA ACOPLADA - CHP DIURNO. AF_03/2017</t>
  </si>
  <si>
    <t>0,0341000</t>
  </si>
  <si>
    <t>ROLO COMPACTADOR DE PNEUS, ESTATICO, PRESSAO VARIAVEL, POTENCIA 110 HP, PESO SEM/COM LASTRO 10,8/27 T, LARGURA DE ROLAGEM 2,30 M - CHP DIURNO. AF_06/2017</t>
  </si>
  <si>
    <t>0,0419000</t>
  </si>
  <si>
    <t>ROLO COMPACTADOR DE PNEUS, ESTATICO, PRESSAO VARIAVEL, POTENCIA 110 HP, PESO SEM/COM LASTRO 10,8/27 T, LARGURA DE ROLAGEM 2,30 M - CHI DIURNO. AF_06/2017</t>
  </si>
  <si>
    <t>0,0990000</t>
  </si>
  <si>
    <t>AREIA MEDIA - POSTO JAZIDA/FORNECEDOR (RETIRADO NA JAZIDA, SEM TRANSPORTE)</t>
  </si>
  <si>
    <t>0,3248000</t>
  </si>
  <si>
    <t>CAL HIDRATADA CH-I PARA ARGAMASSAS</t>
  </si>
  <si>
    <t>56,2000000</t>
  </si>
  <si>
    <t>PEDRA BRITADA N. 0, OU PEDRISCO (4,8 A 9,5 MM) POSTO PEDREIRA/FORNECEDOR, SEM FRETE</t>
  </si>
  <si>
    <t>0,1998000</t>
  </si>
  <si>
    <t>PEDRA BRITADA N. 1 (9,5 a 19 MM) POSTO PEDREIRA/FORNECEDOR, SEM FRETE</t>
  </si>
  <si>
    <t>0,0625000</t>
  </si>
  <si>
    <t>PÁ CARREGADEIRA SOBRE RODAS, POTÊNCIA LÍQUIDA 128 HP, CAPACIDADE DA CAÇAMBA 1,7 A 2,8 M3, PESO OPERACIONAL 11632 KG - CHP DIURNO. AF_06/2014</t>
  </si>
  <si>
    <t>0,0048000</t>
  </si>
  <si>
    <t>PÁ CARREGADEIRA SOBRE RODAS, POTÊNCIA LÍQUIDA 128 HP, CAPACIDADE DA CAÇAMBA 1,7 A 2,8 M3, PESO OPERACIONAL 11632 KG - CHI DIURNO. AF_06/2014</t>
  </si>
  <si>
    <t>0,0179000</t>
  </si>
  <si>
    <t>TANQUE DE ASFALTO ESTACIONÁRIO COM SERPENTINA, CAPACIDADE 30.000 L - CHP DIURNO. AF_06/2014</t>
  </si>
  <si>
    <t>0,0455000</t>
  </si>
  <si>
    <t>0,0632300</t>
  </si>
  <si>
    <t>ENCARREGADO GERAL COM ENCARGOS COMPLEMENTARES</t>
  </si>
  <si>
    <t>0,0227000</t>
  </si>
  <si>
    <t>USINA DE MISTURA ASFÁLTICA À QUENTE, TIPO CONTRA FLUXO, PROD 40 A 80 TON/HORA - CHP DIURNO. AF_03/2016</t>
  </si>
  <si>
    <t>0,0176000</t>
  </si>
  <si>
    <t>USINA DE MISTURA ASFÁLTICA À QUENTE, TIPO CONTRA FLUXO, PROD 40 A 80 TON/HORA - CHI DIURNO. AF_03/2016</t>
  </si>
  <si>
    <t>GRUPO GERADOR COM CARENAGEM, MOTOR DIESEL POTÊNCIA STANDART ENTRE 250 E 260 KVA - CHP DIURNO. AF_12/2016</t>
  </si>
  <si>
    <t>GRUPO GERADOR COM CARENAGEM, MOTOR DIESEL POTÊNCIA STANDART ENTRE 250 E 260 KVA - CHI DIURNO. AF_12/2016</t>
  </si>
  <si>
    <t>TUBO DE CONCRETO (SIMPLES) PARA REDES COLETORAS DE ÁGUAS PLUVIAIS, DIÂMETRO DE 400 MM, JUNTA RÍGIDA - FORNECIMENTO E ASSENTAMENTO</t>
  </si>
  <si>
    <t>TUBO DE CONCRETO PARA REDES COLETORAS DE ÁGUAS PLUVIAIS, DIÂMETRO DE 400 MM, JUNTA RÍGIDA - FORNECIMENTO E ASSENTAMENTO</t>
  </si>
  <si>
    <t>CAIXA COM GRELHA RETANGULAR DE FERRO FUNDIDO, EM ALVENARIA COM TIJOLOS CERÂMICOS MACIÇOS</t>
  </si>
  <si>
    <t>LIMPEZA MECANIZADA DE CAMADA VEGETAL</t>
  </si>
  <si>
    <t>CORTE RASO E RECORTE DE ÁRVORE COM DIÂMETRO DE TRONCO MAIOR OU IGUAL A 0,20 M E MENOR QUE 0,40 M</t>
  </si>
  <si>
    <t>PREPARO DO FUNDO DE VALA</t>
  </si>
  <si>
    <t>DESMONTE DE MATERIAL DE 3ª CATEGORIA (BLOCOS DE ROCHAS OU MATACOS), EM VALA, EXCLUSIVE RETIRADA, CARGA E TRANSPORTE</t>
  </si>
  <si>
    <t>RETIRADA DE MATERIAL DE 3ª CATEGORIA (APÓS ESCAVAÇÃO/DESMONTE) EM VALAS, COM ESCAVADEIRA HIDRÁULICA - EXCLUSIVE CARGA E TRANSPORTE</t>
  </si>
  <si>
    <t>CARGA, MANOBRA E DESCARGA DE MATERIAL DE 3ª CATEGORIA</t>
  </si>
  <si>
    <t>Custo (m²)</t>
  </si>
  <si>
    <t>Preço final</t>
  </si>
  <si>
    <t>Custo (m³)</t>
  </si>
  <si>
    <t>Custo (T)</t>
  </si>
  <si>
    <t>PONTALETE *7,5 X 7,5* CM EM PINUS, MISTA OU EQUIVALENTE DA REGIAO - BRUTA</t>
  </si>
  <si>
    <t>0,3108000</t>
  </si>
  <si>
    <t>SARRAFO *2,5 X 7,5* CM EM PINUS, MISTA OU EQUIVALENTE DA REGIAO - BRUTA</t>
  </si>
  <si>
    <t>0,3696000</t>
  </si>
  <si>
    <t>PREGO DE ACO POLIDO COM CABECA 17 X 27 (2 1/2 X 11)</t>
  </si>
  <si>
    <t>0,0328000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</si>
  <si>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</si>
  <si>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0,0993000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</si>
  <si>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</si>
  <si>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0,2024000</t>
  </si>
  <si>
    <t>TABUA  NAO  APARELHADA  *2,5 X 20* CM, EM MACARANDUBA, ANGELIM OU EQUIVALENTE DA REGIAO - BRUTA</t>
  </si>
  <si>
    <t>1,1592000</t>
  </si>
  <si>
    <t>COTAÇÃO</t>
  </si>
  <si>
    <t>PEDRA GRÊS 17 X 15 X 45 CM</t>
  </si>
  <si>
    <t>ARGAMASSA TRAÇO 1:4 (EM VOLUME DE CIMENTO E AREIA GROSSA ÚMIDA) PARA CHAPISCO CONVENCIONAL, PREPARO MECÂNICO COM BETONEIRA 400 L. AF_08/2019</t>
  </si>
  <si>
    <t>PEDREIRO COM ENCARGOS COMPLEMENTARES</t>
  </si>
  <si>
    <t>14,9453000</t>
  </si>
  <si>
    <t>11,7428000</t>
  </si>
  <si>
    <t>ARGAMASSA TRAÇO 1:3 (EM VOLUME DE CIMENTO E AREIA MÉDIA ÚMIDA), PREPARO MECÂNICO COM BETONEIRA 400 L. AF_08/2019</t>
  </si>
  <si>
    <t>0,4057000</t>
  </si>
  <si>
    <t>ARMAÇÃO DE LAJE DE UMA ESTRUTURA CONVENCIONAL DE CONCRETO ARMADO EM UMA EDIFICAÇÃO TÉRREA OU SOBRADO UTILIZANDO AÇO CA-60 DE 4,2 MM - MONTAGEM. AF_12/2015</t>
  </si>
  <si>
    <t>12,6004000</t>
  </si>
  <si>
    <t>CONCRETO FCK = 20MPA, TRAÇO 1:2,7:3 (EM MASSA SECA DE CIMENTO/ AREIA MÉDIA/ BRITA 1) - PREPARO MECÂNICO COM BETONEIRA 600 L. AF_05/2021</t>
  </si>
  <si>
    <t>0,4747000</t>
  </si>
  <si>
    <t>PEÇA RETANGULAR PRÉ-MOLDADA, VOLUME DE CONCRETO ACIMA DE 100 LITROS, TAXA DE AÇO APROXIMADA DE 30KG/M³. AF_01/2018</t>
  </si>
  <si>
    <t>0,2516000</t>
  </si>
  <si>
    <t>PREPARO DE FUNDO DE VALA COM LARGURA MAIOR OU IGUAL A 1,5 M E MENOR QUE 2,5 M, COM CAMADA DE AREIA, LANÇAMENTO MECANIZADO. AF_08/2020</t>
  </si>
  <si>
    <t>0,6348000</t>
  </si>
  <si>
    <t>Custo (UN)</t>
  </si>
  <si>
    <t>CPU</t>
  </si>
  <si>
    <t>POÇO DE VISITA RETANGULAR PARA DRENAGEM, EM ALVENARIA COM PEDRA GRÊS, DIMENSÕES INTERNAS = 0,8X0,8 M, PROFUNDIDADE ATÉ 1,50 M, INCLUSIVE TAMPA</t>
  </si>
  <si>
    <t>E9665</t>
  </si>
  <si>
    <t>CAMINHÃO PIPA 6.000 L, PESO BRUTO TOTAL 13.000 KG, DISTÂNCIA ENTRE EIXOS 4,80 M, POTÊNCIA 189 CV INCLUSIVE TANQUE DE AÇO PARA TRANSPORTE DE ÁGUA, CAPACIDADE 6 M3 - CHP DIURNO. AF_06/2014</t>
  </si>
  <si>
    <t>ESCAVADEIRA HIDRÁULICA SOBRE ESTEIRAS, CAÇAMBA 0,80 M3, PESO OPERACIONAL 17 T, POTENCIA BRUTA 111 HP - CHI DIURNO. AF_06/2014</t>
  </si>
  <si>
    <t>MOTONIVELADORA POTÊNCIA BÁSICA LÍQUIDA (PRIMEIRA MARCHA) 125 HP, PESO BRUTO 13032 KG, LARGURA DA LÂMINA DE 3,7 M - CHI DIURNO. AF_06/2014</t>
  </si>
  <si>
    <t>TRATOR DE PNEUS COM POTÊNCIA DE 122 CV, TRAÇÃO 4X4, COM VASSOURA MECÂNICA ACOPLADA - CHI DIURNO. AF_02/2017</t>
  </si>
  <si>
    <t>CAVALO MECÂNICO COM SEMI-REBOQUE COM CAPACIDADE DE 22 T - 240 KW</t>
  </si>
  <si>
    <t>MOBILIZAÇÃO OU DESMOBILIZAÇÃO DE EQUIPAMENTOS</t>
  </si>
  <si>
    <t>ENGENHEIRO CIVIL DE OBRA PLENO COM ENCARGOS COMPLEMENTARES</t>
  </si>
  <si>
    <t>Custo (MÊS)</t>
  </si>
  <si>
    <t>REFERÊNCIA</t>
  </si>
  <si>
    <t>COMP. AUXILIAR</t>
  </si>
  <si>
    <t>CUSTO UNITÁRIO</t>
  </si>
  <si>
    <t>CUSTO TOTAL</t>
  </si>
  <si>
    <t>REGULARIZAÇÃO E COMPACTAÇÃO DE SUBLEITO</t>
  </si>
  <si>
    <t>ESPALHAMENTO DE MATERIAL COM TRATOR DE ESTEIRAS</t>
  </si>
  <si>
    <t>CARGA, MANOBRA E DESCARGA DE MACADAME</t>
  </si>
  <si>
    <t>CARGA, MANOBRA E DESCARGA DE BASE DE BRITA GRADUADA SIMPLES</t>
  </si>
  <si>
    <t>CARGA, MANOBRA E DESCARGA DE CONCRETO ASFÁLTICO</t>
  </si>
  <si>
    <t>LASTRO PARA FUNDO DE VALA COM MATERIAL GRANULAR (E = 10 CM)</t>
  </si>
  <si>
    <t>POÇO DE VISITA RETANGULAR PARA DRENAGEM, EM ALVENARIA, DIMENSÕES INTERNAS = 0,80M X 0,80M E ALTURA ATÉ 1,5 M</t>
  </si>
  <si>
    <t>APONTADOR COM ENCARGOS COMPLEMENTARES</t>
  </si>
  <si>
    <t>4.7</t>
  </si>
  <si>
    <t>4.9</t>
  </si>
  <si>
    <t>4.10</t>
  </si>
  <si>
    <t>4.11</t>
  </si>
  <si>
    <t>4.13</t>
  </si>
  <si>
    <t>REATERRO MECANIZADO DE VALA</t>
  </si>
  <si>
    <t>ESCAVAÇÃO  EM SOLO DE 1ª CATEGORIA, INCLUINDO CARGA, DESCARGA E TRANSPORTE (DMT ATÉ 3 KM)</t>
  </si>
  <si>
    <t>ESCAVAÇÃO MECANIZADA DE VALA EM SOLO DE 1ª CATEGORIA</t>
  </si>
  <si>
    <t>CARGA, MANOBRA E DESCARGA DE MATERIAL DE JAZIDA</t>
  </si>
  <si>
    <t>ESCAVAÇÃO EM SOLO DE BAIXA CAPACIDADE DE SUPORTE, INCLUINDO CARGA, DESCARGA E TRANSPORTE (DMT ATÉ 3 KM)</t>
  </si>
  <si>
    <t>SICRO 5213440</t>
  </si>
  <si>
    <t>SICRO 5213863</t>
  </si>
  <si>
    <t>SICRO 5219606</t>
  </si>
  <si>
    <t>ATERRO COM MATERIAL PROVENIENTE DE JAZIDA</t>
  </si>
  <si>
    <t>PLACA DE SINALIZACAO EM CHAPA DE ACO NUM 16 COM PINTURA REFLETIVA</t>
  </si>
  <si>
    <t>CONCRETO FCK = 20MPA, TRAÇO 1:2,7:3 (EM MASSA SECA DE CIMENTO/ AREIA MÉDIA/ BRITA 1) - PREPARO MECÂNICO COM BETONEIRA 400 L. AF_05/2021</t>
  </si>
  <si>
    <t xml:space="preserve">CPU 04 </t>
  </si>
  <si>
    <t>CPU 05 (96401)</t>
  </si>
  <si>
    <t>CPU 06 (96402)</t>
  </si>
  <si>
    <t>CPU 07 (95995)</t>
  </si>
  <si>
    <t>BDI - 24,23%</t>
  </si>
  <si>
    <t>TUBO DE CONCRETO (SIMPLES) PARA REDES COLETORAS DE ÁGUAS PLUVIAIS, DIÂMETRO DE 300 MM, JUNTA RÍGIDA - FORNECIMENTO E ASSENTAMENTO</t>
  </si>
  <si>
    <t>TUBO DE CONCRETO (SIMPLES) PARA REDES COLETORAS DE ÁGUAS PLUVIAIS, DIÂMETRO DE 600 MM, JUNTA RÍGIDA - FORNECIMENTO E ASSENTAMENTO</t>
  </si>
  <si>
    <t>ESCAVADEIRA HIDRÁULICA SOBRE ESTEIRAS, CAÇAMBA 0,80 M3, PESO OPERACIONAL 17 T, POTENCIA BRUTA 111 HP - CHP DIURNO. AF_06/2014</t>
  </si>
  <si>
    <t>TUBO DE CONCRETO SIMPLES PARA AGUAS PLUVIAIS, CLASSE PS1, COM ENCAIXE MACHO E FEMEA, DIAMETRO NOMINAL DE 600 MM</t>
  </si>
  <si>
    <t>ASSENTADOR DE TUBOS COM ENCARGOS COMPLEMENTARES</t>
  </si>
  <si>
    <t>ARGAMASSA TRAÇO 1:3 (EM VOLUME DE CIMENTO E AREIA MÉDIA ÚMIDA), PREPARO MANUAL. AF_08/2019</t>
  </si>
  <si>
    <t>CPU 09</t>
  </si>
  <si>
    <t>Custo (m)</t>
  </si>
  <si>
    <t>0,1260000</t>
  </si>
  <si>
    <t>0,2650000</t>
  </si>
  <si>
    <t>1,0300000</t>
  </si>
  <si>
    <t>0,5930000</t>
  </si>
  <si>
    <t>1,1850000</t>
  </si>
  <si>
    <t>0,0050000</t>
  </si>
  <si>
    <t>5º MÊS</t>
  </si>
  <si>
    <t>CPU 08 (92221)</t>
  </si>
  <si>
    <t>4.8</t>
  </si>
  <si>
    <t>PINTURA DE EIXO E BORDO VIÁRIO SOBRE ASFALTO COM TINTA RETRORREFLETIVA A BASE DE RESINA ACRÍLICA COM MICROESFERAS DE VIDRO, APLICAÇÃO MECÂNICA (L = 12 CM)</t>
  </si>
  <si>
    <t>EXECUÇÃO E COMPACTAÇÃO DE ATERRO COM MATERIAL PROVENIENTE DA JAZIDA</t>
  </si>
  <si>
    <t>Valor ANP</t>
  </si>
  <si>
    <t>TUBO DE CONCRETO PARA REDES COLETORAS DE ÁGUAS PLUVIAIS, DIÂMETRO DE 800 MM, JUNTA RÍGIDA - FORNECIMENTO E ASSENTAMENTO</t>
  </si>
  <si>
    <t>POÇO DE VISITA RETANGULAR PARA DRENAGEM, EM ALVENARIA COM PEDRA GRÊS, DIMENSÕES INTERNAS = 1,20X1,20 M, PROFUNDIDADE ATÉ 1,50 M, INCLUSIVE TAMPA</t>
  </si>
  <si>
    <t>BOCA PARA BUEIRO SIMPLES TUBULAR D = 40 CM EM CONCRETO, ALAS COM ESCONSIDADE DE 0°</t>
  </si>
  <si>
    <t>BOCA PARA BUEIRO SIMPLES TUBULAR D = 80 CM EM CONCRETO, ALAS COM ESCONSIDADE DE 0°</t>
  </si>
  <si>
    <t>Diâm. Ext.</t>
  </si>
  <si>
    <t>Alt.</t>
  </si>
  <si>
    <t>Larg.</t>
  </si>
  <si>
    <t>Área</t>
  </si>
  <si>
    <t>Reaterro</t>
  </si>
  <si>
    <t>Lastro</t>
  </si>
  <si>
    <t>Seção Tubo</t>
  </si>
  <si>
    <t>6º MÊS</t>
  </si>
  <si>
    <t>CARGA, MANOBRA E DESCARGA DE MATERIAL DE 1ª CATEGORIA</t>
  </si>
  <si>
    <t>4.2</t>
  </si>
  <si>
    <t>2.7</t>
  </si>
  <si>
    <t>2.8</t>
  </si>
  <si>
    <t>2.9</t>
  </si>
  <si>
    <t>2.10</t>
  </si>
  <si>
    <t>2.11</t>
  </si>
  <si>
    <t>ANP</t>
  </si>
  <si>
    <t>Usinas</t>
  </si>
  <si>
    <t>DMT'S (Km)</t>
  </si>
  <si>
    <t>PAP</t>
  </si>
  <si>
    <t>Giovanella</t>
  </si>
  <si>
    <t>Conpasul</t>
  </si>
  <si>
    <t>TUBO DE CONCRETO PARA REDES COLETORAS DE ÁGUAS PLUVIAIS, DIÂMETRO DE 600 MM, JUNTA RÍGIDA - FORNECIMENTO E ASSENTAMENTO</t>
  </si>
  <si>
    <t>BOCA PARA BUEIRO SIMPLES TUBULAR D = 60 CM EM CONCRETO, ALAS COM ESCONSIDADE DE 0°</t>
  </si>
  <si>
    <t>PLACA DE OBRA EM CHAPA DE AÇO GALVANIZADO (1,50 M X 3,00 M)</t>
  </si>
  <si>
    <t xml:space="preserve">CRONOGRAMA FÍSICO-FINANCEIRO </t>
  </si>
  <si>
    <t xml:space="preserve">MEMÓRIA DE CÁLCULO </t>
  </si>
  <si>
    <t>1 Unidade</t>
  </si>
  <si>
    <t>2 Unidades</t>
  </si>
  <si>
    <t>4.12</t>
  </si>
  <si>
    <t>Unidades de projeto = 1 Unidade</t>
  </si>
  <si>
    <t>3.13</t>
  </si>
  <si>
    <t>PINTURA DE MEIO-FIO COM TINTA ACRÍLICA, APLICAÇÃO MANUAL, 2 DEMÃOS</t>
  </si>
  <si>
    <t>RESPONSÁVEL TÉCNICO</t>
  </si>
  <si>
    <t>CIMENTO ASFALTICO DE PETROLEO A GRANEL (CAP) 50/70 (COLETADO CAIXA NA ANP ACRESCIDO DE ICMS, PIS E COFINS)</t>
  </si>
  <si>
    <t>EMULSAO ASFALTICA CATIONICA RR-2C PARA USO EM PAVIMENTACAO ASFALTICA (COLETADO CAIXA NA ANP ACRESCIDO DE ICMS, PIS E COFINS)</t>
  </si>
  <si>
    <t>ASFALTO DILUIDO DE PETROLEO CM-30 (COLETADO CAIXA ANP ACRESCIDOS DE ICMS, PIS E COFINS)</t>
  </si>
  <si>
    <t>RETIRADA E RECONSTRUÇÃO DE CERCA COM MOURÕES DE MADEIRA, 7,5 X 7,5 CM, ESPAÇAMENTO DE 2 M, ALTURA LIVRE DE 2M, CRAVADOS 0,5 M, COM 4 FIOS DE ARAME FARPADO Nº 14 CLASSE 250</t>
  </si>
  <si>
    <t>CARPINTEIRO DE FORMAS COM ENCARGOS COMPLEMENTARES</t>
  </si>
  <si>
    <t>ARAME FARPADO GALVANIZADO 14 BWG, CLASSE 250</t>
  </si>
  <si>
    <t>PEÇA DE MADEIRA NÃO APARELHADA 7,5 X 7,5 CM (3’ X 3’) MACARANDUBA, ANGELIM OU EQUIVALENTE DA REGIÃO</t>
  </si>
  <si>
    <t>GRAMPO DE AÇO POLIDO 1’X9</t>
  </si>
  <si>
    <t>2.12</t>
  </si>
  <si>
    <t>CPU 11</t>
  </si>
  <si>
    <t xml:space="preserve">TESTADA DE BUEIRO D=400MM </t>
  </si>
  <si>
    <t>BLOCO DE CONCRETO ESTRUTURAL 19 X 19 X 39 CM, FBK 4,5 MPA (NBR 6136)</t>
  </si>
  <si>
    <t>ARGAMASSA TRAÇO 1:4 (EM VOLUME DE CIMENTO E AREIA MÉDIA ÚMIDA), PREPARO MANUAL. AF_08/2019</t>
  </si>
  <si>
    <t>CONCRETO MAGRO PARA LASTRO, TRAÇO 1:4,5:4,5 (EM MASSA SECA DE CIMENTO/ AREIA MÉDIA/ BRITA 1) - PREPARO MECÂNICO COM BETONEIRA 400 L. AF_05/2021</t>
  </si>
  <si>
    <t>CHAPA/PAINEL DE MADEIRA COMPENSADA PLASTIFICADA (MADEIRITE PLASTIFICADO) PARA FORMA DE CONCRETO, DE 2200 x 1100 MM, E = 10 MM</t>
  </si>
  <si>
    <t xml:space="preserve">UN    </t>
  </si>
  <si>
    <t xml:space="preserve">M2    </t>
  </si>
  <si>
    <t>ARMAÇÃO DE LAJE DE ESTRUTURA CONVENCIONAL DE CONCRETO ARMADO UTILIZANDO AÇO CA-60 DE 4,2 MM - MONTAGEM. AF_06/2022</t>
  </si>
  <si>
    <t>EXECUÇÃO DE MEIO-FIO, DIMENSÕES 100X15X13X30 CM - (COMPRIMENTO X BASE INFERIOR X BASE SUPERIOR X ALTURA)</t>
  </si>
  <si>
    <t>TUBO DE CONCRETO PARA REDES COLETORAS DE ÁGUAS PLUVIAIS, DIÂMETRO DE 1000 MM, JUNTA RÍGIDA - FORNECIMENTO E ASSENTAMENTO</t>
  </si>
  <si>
    <t>TUBO DE CONCRETO PARA REDES COLETORAS DE ÁGUAS PLUVIAIS, DIÂMETRO DE 500 MM, JUNTA RÍGIDA - FORNECIMENTO E ASSENTAMENTO</t>
  </si>
  <si>
    <t>BOCA PARA BUEIRO SIMPLES TUBULAR D = 100 CM EM CONCRETO, ALAS COM ESCONSIDADE DE 0°</t>
  </si>
  <si>
    <t xml:space="preserve">TESTADA DE BUEIRO D=600MM </t>
  </si>
  <si>
    <t>TESTADA PARA BUEIRO SIMPLES TUBULAR D = 40 CM EM CONCRETO</t>
  </si>
  <si>
    <t>TESTADA PARA BUEIRO SIMPLES TUBULAR D = 60 CM EM CONCRETO</t>
  </si>
  <si>
    <t>CPU 12</t>
  </si>
  <si>
    <t>CPU 13</t>
  </si>
  <si>
    <t>POÇO DE VISITA RETANGULAR PARA DRENAGEM, EM ALVENARIA COM PEDRA GRÊS, DIMENSÕES INTERNAS = 1,50X1,50 M, PROFUNDIDADE ATÉ 1,50 M, INCLUSIVE TAMPA</t>
  </si>
  <si>
    <t>CPU 14</t>
  </si>
  <si>
    <t>POÇO DE VISITA RETANGULAR PARA DRENAGEM, EM ALVENARIA, DIMENSÕES INTERNAS = 1,50M X 1,50M E ALTURA ATÉ 1,5 M</t>
  </si>
  <si>
    <t>14 (99290)</t>
  </si>
  <si>
    <t>DESMOLDANTE PROTETOR PARA FORMAS DE MADEIRA, DE BASE OLEOSA EMULSIONADA EM AGUA</t>
  </si>
  <si>
    <t>PREPARO DE FUNDO DE VALA COM LARGURA MAIOR OU IGUAL A 1,5 M E MENOR QUE 2,5 M, COM CAMADA DE BRITA, LANÇAMENTO MECANIZADO. AF_08/2020</t>
  </si>
  <si>
    <t>L</t>
  </si>
  <si>
    <t>0,0194000</t>
  </si>
  <si>
    <t>0,4218000</t>
  </si>
  <si>
    <t>0,5016000</t>
  </si>
  <si>
    <t>0,0445000</t>
  </si>
  <si>
    <t>0,1601000</t>
  </si>
  <si>
    <t>0,3263000</t>
  </si>
  <si>
    <t>1,5732000</t>
  </si>
  <si>
    <t>0,0500000</t>
  </si>
  <si>
    <t>21,3964000</t>
  </si>
  <si>
    <t>16,8114000</t>
  </si>
  <si>
    <t>0,6379000</t>
  </si>
  <si>
    <t>0,7950000</t>
  </si>
  <si>
    <t>0,9408000</t>
  </si>
  <si>
    <t>PLACA DE REGULAMENTAÇÃO  R-19 (60 KM/H) - CIRCULAR D = 50 CM</t>
  </si>
  <si>
    <t>PLACA DE REGULAMENTAÇÃO  R-07 (PROIBIDO ULTRAPASSAR) - CIRCULAR D = 50 CM</t>
  </si>
  <si>
    <t>SICRO 5213489</t>
  </si>
  <si>
    <t>PLACA DE INFORMAÇÃO 2,00 X 1,00 - PONTE</t>
  </si>
  <si>
    <t>SICRO 5213868</t>
  </si>
  <si>
    <t>POSTE PARA PLACA DE INFORMAÇÃO 2,00 X 1,00</t>
  </si>
  <si>
    <t>5.5</t>
  </si>
  <si>
    <t>5.6</t>
  </si>
  <si>
    <t>5.7</t>
  </si>
  <si>
    <t>5.8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</si>
  <si>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</si>
  <si>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</si>
  <si>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</si>
  <si>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</si>
  <si>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</si>
  <si>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</si>
  <si>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</si>
  <si>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</si>
  <si>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</si>
  <si>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</si>
  <si>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</si>
  <si>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</si>
  <si>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</si>
  <si>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</si>
  <si>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</si>
  <si>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</si>
  <si>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2.13</t>
  </si>
  <si>
    <t>2.14</t>
  </si>
  <si>
    <t>2.15</t>
  </si>
  <si>
    <t>5.9</t>
  </si>
  <si>
    <t>TOTAL GERAL ORÇADO</t>
  </si>
  <si>
    <t>PLACA DE REGULAMENTAÇÃO  R-01 (PARE) - OCTOGONAL - L = 25 CM</t>
  </si>
  <si>
    <t>EXECUÇÃO E COMPACTAÇÃO DE SUB BASE PARA PAVIMENTAÇÃO DE MACADAME - EXCLUSIVE CARGA E TRANSPORTE. (E = 20CM)</t>
  </si>
  <si>
    <t>PREÇOS UNITÁRIOS
COM BDI</t>
  </si>
  <si>
    <t>PLANILHA ORÇAMENTÁRIA</t>
  </si>
  <si>
    <t>5.10</t>
  </si>
  <si>
    <t>SICRO 5213362</t>
  </si>
  <si>
    <t>TACHÃO BIDIRECIONAL</t>
  </si>
  <si>
    <t>4.14</t>
  </si>
  <si>
    <t>PINTURA DE MEIO-FIO COM TINTA BRANCA A BASE DE CAL (CAIAÇÃO). AF_05/2021</t>
  </si>
  <si>
    <t>ENCARGOS SOCIAIS - Horista (112,39%) e Mensalista (69,64%)</t>
  </si>
  <si>
    <t>PREFEITURA MUNICIPAL DE CRUZEIRO DO SUL - RS</t>
  </si>
  <si>
    <t>ENTRE A RSC-453 SENTIDO AO INTERIOR</t>
  </si>
  <si>
    <t>Cruzeiro do Sul/RS, Outubro de 2023.</t>
  </si>
  <si>
    <t>Ref.: SICRO - ABRIL-23/RS</t>
  </si>
  <si>
    <t>SINAPI AGO-23</t>
  </si>
  <si>
    <t>ANP AGO-23</t>
  </si>
  <si>
    <t>CRUZEIRO DO SUL/RS</t>
  </si>
  <si>
    <t>BOTA FORA</t>
  </si>
  <si>
    <t>Município</t>
  </si>
  <si>
    <t>TRANSPORTE COM CAMINHÃO BASCULANTE DE 10 M³ - RODOVIA EM REVESTIMENTO PRIMÁRIO (DMT = 7,00 KM)</t>
  </si>
  <si>
    <t>EXECUÇÃO E COMPACTAÇÃO DE BASE PARA PAVIMENTAÇÃO DE BRITA GRADUADA SIMPLES - EXCLUSIVE CARGA E TRANSPORTE. (E = 15CM)</t>
  </si>
  <si>
    <t>LIMPEZA DA SUPERFÍCIE PARA APLICAÇÃO DE SINALIZAÇÃO</t>
  </si>
  <si>
    <t>RUA PROFESSOR ALOÍZIO ROMEU SIEBEN - ESTRADA SÃO RAFAEL</t>
  </si>
  <si>
    <t>p/ m²</t>
  </si>
  <si>
    <t>TRANSPORTE COM CAMINHÃO BASCULANTE DE 10 M³ - RODOVIA EM REVESTIMENTO PRIMÁRIO (DMT = 20,70 KM)</t>
  </si>
  <si>
    <t>TRANSPORTE COM CAMINHÃO BASCULANTE DE 10 M³ - RODOVIA PAVIMENTADA DMT 20,70 KM</t>
  </si>
  <si>
    <t>SINAPI - SISTEMA NACIONAL DE PESQUISA DE CUSTOS E ÍNDICES DA CONSTRUÇÃO CIVIL (COMPOSIÇÃO DE PREÇOS UNITÁRIOS) - AGO/2023</t>
  </si>
  <si>
    <t>700 m x 7,00 m = 4.900,00 m²</t>
  </si>
  <si>
    <t>4.900,00 m²</t>
  </si>
  <si>
    <t>BRITAGEM</t>
  </si>
  <si>
    <t>USINA ASFALTO</t>
  </si>
  <si>
    <t>(Extensão do trecho x largura do trecho) + (Área de alargamento) = (700 m x 7,00 m) = 4.900,00 m²</t>
  </si>
  <si>
    <t>6 Meses</t>
  </si>
  <si>
    <t>(Extensão total do trecho x alargamento para terraplenagem) = 700 m x 4,00 m = 2.800,00 m²</t>
  </si>
  <si>
    <t>30 Unidades</t>
  </si>
  <si>
    <t>Volume gerado nos relatórios = 3.722,38 m³</t>
  </si>
  <si>
    <t>(Extensão do trecho x Largura Prevista de Remoção x Altura prevista de remoção de solos de baixa capacidade de resistência) = (700m x 4,00m x 0,40m)  = 1.120 m³</t>
  </si>
  <si>
    <t>((Volume de material escavado de 1ª categoria + volume escavado de material inadequado) + 25% empolamento) x km = (3.722,38 m³ + 1.120,00 m³) + 25% de empolamento x 2,00 Km = 12.105,95 m³xKm</t>
  </si>
  <si>
    <t>((Volume de material escavado de 1ª categoria + volume escavado de material inadequado) + 25% empolamento) x km = (3.722,38 m³ + 1.120,00 m³) + 25% de empolamento = 6.052,98 m³xKm</t>
  </si>
  <si>
    <t>(Extensão do trecho x largura de terraplenagem do trecho) = (700,00 m x 10,00 m) = 7.000,00 m²</t>
  </si>
  <si>
    <t>Quantidade de tubos de projeto = 231,00 m</t>
  </si>
  <si>
    <t>(Extensão do trecho x largura de sub-base do trecho) x espessura da camada de macadame = (700 m x 7,80 ) x 0,20 m = 1.092,00 m³</t>
  </si>
  <si>
    <t>(Volume de Macadame + 40% de empolamento) = 1.092,00 m³ + 40% de empolamento = 1.528,80 m³</t>
  </si>
  <si>
    <t>(Extensão do trecho x largura de base do trecho) x espessura da camada de base = (700 m x 7,45 m) x 0,15 m = 782,25 m³</t>
  </si>
  <si>
    <t>(Volume de Base de Brita Graduada x 47% de empolamento) = (782,25 m³ + 47% de empolamento) = 1.149,91 m³</t>
  </si>
  <si>
    <t>(Extensão do trecho x largura de base do trecho) = (700,00 m x 7,60 m)  = 5.320,00 m²</t>
  </si>
  <si>
    <t>Extensão do trecho  x largura do trecho) = (700,00 m x 6,5 m) = 4.550,00 m²</t>
  </si>
  <si>
    <t>Extensão do trecho x largura do trecho) x espessura da camada = (700,00 m x 6,50 m) x 0,05 m = 227,50 m³</t>
  </si>
  <si>
    <t>(Volume de CBUQ x 47% de empolamento) = 227,50 m³ x 47% de empolamento = 334,43 m³</t>
  </si>
  <si>
    <t>(Extensão do trecho x nº de faixas) = (700 m x 3,00 faixas) = 2.100,00 m</t>
  </si>
  <si>
    <t>Unidades de projeto = 3 Unidades</t>
  </si>
  <si>
    <t>Unidades de projeto = 7 Unidades</t>
  </si>
  <si>
    <t>Quantidade de tubos de projeto = 14,00 m</t>
  </si>
  <si>
    <t xml:space="preserve">(Extensão da tubulação de DN 400 mm x Largura de escavação) + (Escavação da tubulação de DN 600 mm x largura de escavação) =  ((231,00 m x 1,28 m  + (14,00 m x 1,52 m) = 316,96 m² </t>
  </si>
  <si>
    <t xml:space="preserve">(Extensão da tubulação de DN 400 mm x Largura de escavação) + (Escavação da tubulação de DN 600 mm x largura de escavação) x espessura da camada de brita =  ((231,00 m x 1,28 m  + (14,00 m x 1,52 m) ) x 0,10 m = 31,70 m³ </t>
  </si>
  <si>
    <t xml:space="preserve">(Volume de escavação de 1ª categoria - Volume de reaterro) + 25% de empolamento = (379,12 m³ - 300,10 m³) + 25% de empolamento = 98,78 m³ </t>
  </si>
  <si>
    <t xml:space="preserve">(Volume de carga, manobra e descarga) x Km  = (98,78 m³) x 2,00 Km = 197,56 m³xKm </t>
  </si>
  <si>
    <t>Unidades de projeto = 32 Unidades</t>
  </si>
  <si>
    <t>Unidades de projeto = 2 Unidades</t>
  </si>
  <si>
    <t>(Extensão do trecho x largura das faixas x nº de faixas) = (700 m x  0,12m x 3,00 faixas) = 252,00 m²</t>
  </si>
  <si>
    <t>Volume de brita x Km = 31,70 m³ x 20,20 Km = 640,34 m³xKm</t>
  </si>
  <si>
    <t>(Volume de Macadame x 40% de empolamento) x Km = (1.092,00 m³ x 40% de empolamento) x 20,20 Km = 310.881,76 m³xKm</t>
  </si>
  <si>
    <t>(Volume de Base de Brita Graduada + 47% de empolamento) x Km = (782,25 m³ + 47% de empolamento) x 20,20 Km = 23.228,18 m³xKm</t>
  </si>
  <si>
    <t>(Volume de CBUQ x 47% de empolamento) x Km = (227,50 m³ x 47% de empolamento) x 16,60 Km  = 5.651,87 m³xKm</t>
  </si>
  <si>
    <t>15</t>
  </si>
  <si>
    <t>CPU 15</t>
  </si>
  <si>
    <t>Conforme relatório de Volume de aterro + Escavação de material inadequado) = 362,20m³ + 1120,00m3 =  1.482,20 m³</t>
  </si>
  <si>
    <t>(Volume de aterro) + 40% de empolamento)= 1.482,20m³ + 40% empolamento = 2.075,08m³</t>
  </si>
  <si>
    <t>(Volume de aterro) + 25% de empolamento) x (DMT média Km) = (1.482,20 m³) +40% de empolamento) x 20,20 Km = 41.916,62 m³xKm</t>
  </si>
  <si>
    <t xml:space="preserve">(Extensão da tubulação de DN 400 mm x Área de escavação) + (Escavação da tubulação de DN 600 mm x Área de escavação) x (80% do material)=  (231,00 m x 1,51 m²) + (14,00 m x 2,16 m²) = 379,05 x 80% = 303,30m³ </t>
  </si>
  <si>
    <t xml:space="preserve">(Extensão da tubulação de DN 400 mm x Área de escavação) + (Escavação da tubulação de DN 600 mm x Área de escavação) x (80% do material)=  (231,00 m x 1,51 m²) + (14,00 m x 2,16 m²) = 379,05 x 20% = 75,82m³ </t>
  </si>
  <si>
    <t xml:space="preserve">(Extensão da tubulação de DN 400 mm x Área de escavação) + (Escavação da tubulação de DN 600 mm x Área de escavação) x (80% do material)=  (231,00 m x 1,51 m²) + (14,00 m x 2,16 m²) = 379,05 x 20% = 75,82m³ + 40% de empolamento = 106,15m³ </t>
  </si>
  <si>
    <t>(Extensão da tubulação de DN 400 mm x Área de escavação) + (Escavação da tubulação de DN 600 mm x Área de escavação) x (80% do material)=  (231,00 m x 1,51 m²) + (14,00 m x 2,16 m²) = 379,05 x 20% = 75,82m³ + 40% de empolamento = 106,15m³  x 2,00km = 212,30m³xkm</t>
  </si>
  <si>
    <t xml:space="preserve">(Volume de escavação - (Volume da tubulação + Volume do lastro de brita) = (379,12 m³ - (47,32m³+31,70) = 300,10 m³ </t>
  </si>
  <si>
    <t>Unidades de projeto = 264 Unidades</t>
  </si>
  <si>
    <t>COMPACTAÇÃO DE ATERRO DO MATERIAL PROVENIENTE DA JAZIDA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</si>
</sst>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&quot;R$ &quot;* #,##0.00_);_(&quot;R$ &quot;* \(#,##0.00\);_(&quot;R$ &quot;* &quot;-&quot;??_);_(@_)"/>
    <numFmt numFmtId="167" formatCode="[$-F800]dddd\,\ mmmm\ dd\,\ yyyy"/>
    <numFmt numFmtId="168" formatCode="[$R$-416]&quot; &quot;#,##0.00;[Red]&quot;-&quot;[$R$-416]&quot; &quot;#,##0.00"/>
    <numFmt numFmtId="169" formatCode="#,##0.00&quot; &quot;;&quot;(&quot;#,##0.00&quot;)&quot;;&quot;-&quot;#&quot; &quot;;@&quot; &quot;"/>
    <numFmt numFmtId="170" formatCode="_(* #,##0.000_);_(* \(#,##0.000\);_(* &quot;-&quot;??_);_(@_)"/>
    <numFmt numFmtId="171" formatCode="0.0%"/>
    <numFmt numFmtId="172" formatCode="0.0000000"/>
    <numFmt numFmtId="173" formatCode="#,##0.0000000"/>
    <numFmt numFmtId="174" formatCode="#,##0.00000"/>
    <numFmt numFmtId="175" formatCode="#,##0.0000"/>
    <numFmt numFmtId="176" formatCode="#,##0.000000"/>
    <numFmt numFmtId="177" formatCode="0.000000"/>
    <numFmt numFmtId="178" formatCode="0.000"/>
    <numFmt numFmtId="179" formatCode="0.00000%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Arial1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theme="1"/>
      <name val="Arial2"/>
      <family val="2"/>
    </font>
    <font>
      <b/>
      <i/>
      <sz val="16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name val="Cambria"/>
      <family val="1"/>
      <scheme val="major"/>
    </font>
    <font>
      <sz val="10"/>
      <name val="Cambria"/>
      <family val="1"/>
      <scheme val="major"/>
    </font>
    <font>
      <sz val="12"/>
      <color rgb="FFFFFF00"/>
      <name val="Cambria"/>
      <family val="1"/>
      <scheme val="major"/>
    </font>
    <font>
      <sz val="11.5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6"/>
      <name val="Cambria"/>
      <family val="1"/>
      <scheme val="major"/>
    </font>
    <font>
      <sz val="16"/>
      <color indexed="9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indexed="9"/>
      <name val="Cambria"/>
      <family val="1"/>
      <scheme val="major"/>
    </font>
    <font>
      <b/>
      <sz val="16"/>
      <color theme="0"/>
      <name val="Cambria"/>
      <family val="1"/>
      <scheme val="major"/>
    </font>
    <font>
      <sz val="16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rgb="FFFFFF00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b/>
      <sz val="13"/>
      <name val="Cambria"/>
      <family val="1"/>
      <scheme val="major"/>
    </font>
    <font>
      <sz val="12"/>
      <color rgb="FFFF0000"/>
      <name val="Cambria"/>
      <family val="1"/>
      <scheme val="major"/>
    </font>
  </fonts>
  <fills count="5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indexed="9"/>
        <bgColor indexed="8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207">
    <xf numFmtId="0" fontId="0" fillId="0" borderId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1" applyNumberFormat="0" applyAlignment="0" applyProtection="0"/>
    <xf numFmtId="0" fontId="13" fillId="19" borderId="2" applyNumberFormat="0" applyAlignment="0" applyProtection="0"/>
    <xf numFmtId="0" fontId="14" fillId="0" borderId="3" applyNumberFormat="0" applyFill="0" applyAlignment="0" applyProtection="0"/>
    <xf numFmtId="0" fontId="28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5" fillId="2" borderId="1" applyNumberFormat="0" applyAlignment="0" applyProtection="0"/>
    <xf numFmtId="0" fontId="29" fillId="24" borderId="0"/>
    <xf numFmtId="0" fontId="29" fillId="25" borderId="0"/>
    <xf numFmtId="0" fontId="29" fillId="26" borderId="0"/>
    <xf numFmtId="0" fontId="29" fillId="27" borderId="0"/>
    <xf numFmtId="0" fontId="29" fillId="28" borderId="0"/>
    <xf numFmtId="0" fontId="29" fillId="29" borderId="0"/>
    <xf numFmtId="0" fontId="29" fillId="30" borderId="0"/>
    <xf numFmtId="0" fontId="29" fillId="31" borderId="0"/>
    <xf numFmtId="0" fontId="29" fillId="32" borderId="0"/>
    <xf numFmtId="0" fontId="29" fillId="27" borderId="0"/>
    <xf numFmtId="0" fontId="29" fillId="30" borderId="0"/>
    <xf numFmtId="0" fontId="29" fillId="33" borderId="0"/>
    <xf numFmtId="0" fontId="30" fillId="34" borderId="0"/>
    <xf numFmtId="0" fontId="30" fillId="31" borderId="0"/>
    <xf numFmtId="0" fontId="30" fillId="32" borderId="0"/>
    <xf numFmtId="0" fontId="30" fillId="35" borderId="0"/>
    <xf numFmtId="0" fontId="30" fillId="36" borderId="0"/>
    <xf numFmtId="0" fontId="30" fillId="37" borderId="0"/>
    <xf numFmtId="0" fontId="30" fillId="38" borderId="0"/>
    <xf numFmtId="0" fontId="30" fillId="39" borderId="0"/>
    <xf numFmtId="0" fontId="30" fillId="40" borderId="0"/>
    <xf numFmtId="0" fontId="30" fillId="35" borderId="0"/>
    <xf numFmtId="0" fontId="30" fillId="36" borderId="0"/>
    <xf numFmtId="0" fontId="30" fillId="41" borderId="0"/>
    <xf numFmtId="0" fontId="31" fillId="25" borderId="0"/>
    <xf numFmtId="0" fontId="32" fillId="42" borderId="21"/>
    <xf numFmtId="0" fontId="33" fillId="43" borderId="0"/>
    <xf numFmtId="169" fontId="34" fillId="0" borderId="0"/>
    <xf numFmtId="169" fontId="34" fillId="0" borderId="0"/>
    <xf numFmtId="0" fontId="35" fillId="0" borderId="0"/>
    <xf numFmtId="0" fontId="36" fillId="26" borderId="0"/>
    <xf numFmtId="0" fontId="37" fillId="0" borderId="22"/>
    <xf numFmtId="0" fontId="38" fillId="0" borderId="23"/>
    <xf numFmtId="0" fontId="39" fillId="0" borderId="24"/>
    <xf numFmtId="0" fontId="39" fillId="0" borderId="0"/>
    <xf numFmtId="0" fontId="40" fillId="29" borderId="21"/>
    <xf numFmtId="0" fontId="41" fillId="0" borderId="0"/>
    <xf numFmtId="0" fontId="42" fillId="44" borderId="0"/>
    <xf numFmtId="0" fontId="34" fillId="45" borderId="25"/>
    <xf numFmtId="0" fontId="43" fillId="42" borderId="26"/>
    <xf numFmtId="9" fontId="34" fillId="0" borderId="0"/>
    <xf numFmtId="0" fontId="44" fillId="0" borderId="0"/>
    <xf numFmtId="0" fontId="45" fillId="0" borderId="27"/>
    <xf numFmtId="0" fontId="46" fillId="0" borderId="0"/>
    <xf numFmtId="169" fontId="47" fillId="0" borderId="0"/>
    <xf numFmtId="0" fontId="48" fillId="0" borderId="0">
      <alignment horizontal="center"/>
    </xf>
    <xf numFmtId="0" fontId="48" fillId="0" borderId="0">
      <alignment horizontal="center" textRotation="90"/>
    </xf>
    <xf numFmtId="0" fontId="16" fillId="5" borderId="0" applyNumberFormat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7" fillId="12" borderId="0" applyNumberFormat="0" applyBorder="0" applyAlignment="0" applyProtection="0"/>
    <xf numFmtId="0" fontId="9" fillId="0" borderId="0"/>
    <xf numFmtId="0" fontId="4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6" borderId="4" applyNumberFormat="0" applyFont="0" applyAlignment="0" applyProtection="0"/>
    <xf numFmtId="0" fontId="18" fillId="0" borderId="6" applyNumberFormat="0" applyFont="0" applyBorder="0" applyAlignment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/>
    <xf numFmtId="168" fontId="50" fillId="0" borderId="0"/>
    <xf numFmtId="0" fontId="19" fillId="10" borderId="5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164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12" fillId="10" borderId="44" applyNumberFormat="0" applyAlignment="0" applyProtection="0"/>
    <xf numFmtId="0" fontId="15" fillId="2" borderId="4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7" fillId="6" borderId="45" applyNumberFormat="0" applyFont="0" applyAlignment="0" applyProtection="0"/>
    <xf numFmtId="9" fontId="2" fillId="0" borderId="0" applyFont="0" applyFill="0" applyBorder="0" applyAlignment="0" applyProtection="0"/>
    <xf numFmtId="0" fontId="19" fillId="10" borderId="46" applyNumberFormat="0" applyAlignment="0" applyProtection="0"/>
    <xf numFmtId="164" fontId="6" fillId="0" borderId="0" applyFont="0" applyFill="0" applyBorder="0" applyAlignment="0" applyProtection="0"/>
    <xf numFmtId="0" fontId="26" fillId="0" borderId="47" applyNumberFormat="0" applyFill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</cellStyleXfs>
  <cellXfs count="428">
    <xf numFmtId="0" fontId="0" fillId="0" borderId="0" xfId="0"/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3" fillId="0" borderId="14" xfId="0" applyFont="1" applyFill="1" applyBorder="1" applyAlignment="1">
      <alignment horizontal="right"/>
    </xf>
    <xf numFmtId="0" fontId="54" fillId="0" borderId="0" xfId="0" applyNumberFormat="1" applyFont="1" applyFill="1" applyAlignment="1">
      <alignment vertical="center"/>
    </xf>
    <xf numFmtId="2" fontId="54" fillId="0" borderId="0" xfId="79" applyNumberFormat="1" applyFont="1" applyFill="1" applyAlignment="1">
      <alignment horizontal="center" vertical="center"/>
    </xf>
    <xf numFmtId="10" fontId="54" fillId="0" borderId="0" xfId="169" applyNumberFormat="1" applyFont="1" applyFill="1" applyAlignment="1">
      <alignment horizontal="center" vertical="center"/>
    </xf>
    <xf numFmtId="0" fontId="55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horizontal="right" vertical="center"/>
    </xf>
    <xf numFmtId="2" fontId="56" fillId="0" borderId="0" xfId="79" applyNumberFormat="1" applyFont="1" applyFill="1" applyAlignment="1">
      <alignment horizontal="center" vertical="center"/>
    </xf>
    <xf numFmtId="10" fontId="56" fillId="0" borderId="0" xfId="169" applyNumberFormat="1" applyFont="1" applyFill="1" applyAlignment="1">
      <alignment horizontal="center" vertical="center"/>
    </xf>
    <xf numFmtId="0" fontId="56" fillId="0" borderId="0" xfId="0" applyNumberFormat="1" applyFont="1" applyFill="1" applyAlignment="1">
      <alignment vertical="center"/>
    </xf>
    <xf numFmtId="0" fontId="57" fillId="0" borderId="0" xfId="109" applyFont="1" applyFill="1" applyBorder="1" applyAlignment="1">
      <alignment vertical="center"/>
    </xf>
    <xf numFmtId="0" fontId="54" fillId="0" borderId="0" xfId="0" applyNumberFormat="1" applyFont="1" applyFill="1" applyBorder="1" applyAlignment="1">
      <alignment vertical="center"/>
    </xf>
    <xf numFmtId="0" fontId="57" fillId="0" borderId="0" xfId="109" applyFont="1" applyFill="1" applyBorder="1" applyAlignment="1">
      <alignment horizontal="left" vertical="center"/>
    </xf>
    <xf numFmtId="10" fontId="58" fillId="0" borderId="0" xfId="169" applyNumberFormat="1" applyFont="1" applyFill="1" applyAlignment="1">
      <alignment horizontal="center" vertical="center"/>
    </xf>
    <xf numFmtId="0" fontId="59" fillId="0" borderId="0" xfId="109" applyFont="1" applyFill="1" applyBorder="1" applyAlignment="1">
      <alignment vertical="center"/>
    </xf>
    <xf numFmtId="0" fontId="59" fillId="0" borderId="0" xfId="109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vertical="center"/>
    </xf>
    <xf numFmtId="10" fontId="58" fillId="0" borderId="0" xfId="0" applyNumberFormat="1" applyFont="1" applyFill="1" applyAlignment="1">
      <alignment horizontal="center" vertical="center"/>
    </xf>
    <xf numFmtId="0" fontId="55" fillId="0" borderId="0" xfId="109" applyNumberFormat="1" applyFont="1" applyFill="1" applyBorder="1" applyAlignment="1">
      <alignment horizontal="center" vertical="center"/>
    </xf>
    <xf numFmtId="10" fontId="58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165" fontId="55" fillId="0" borderId="11" xfId="109" applyNumberFormat="1" applyFont="1" applyFill="1" applyBorder="1" applyAlignment="1">
      <alignment horizontal="center" vertical="center"/>
    </xf>
    <xf numFmtId="165" fontId="55" fillId="0" borderId="12" xfId="109" applyNumberFormat="1" applyFont="1" applyFill="1" applyBorder="1" applyAlignment="1">
      <alignment horizontal="center" vertical="center"/>
    </xf>
    <xf numFmtId="0" fontId="55" fillId="0" borderId="12" xfId="109" applyFont="1" applyFill="1" applyBorder="1" applyAlignment="1">
      <alignment horizontal="left" vertical="center" wrapText="1"/>
    </xf>
    <xf numFmtId="0" fontId="55" fillId="0" borderId="12" xfId="109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7" xfId="109" applyFont="1" applyFill="1" applyBorder="1" applyAlignment="1">
      <alignment horizontal="center" vertical="center" wrapText="1"/>
    </xf>
    <xf numFmtId="0" fontId="55" fillId="0" borderId="56" xfId="109" applyFont="1" applyFill="1" applyBorder="1" applyAlignment="1">
      <alignment horizontal="center" vertical="center" wrapText="1"/>
    </xf>
    <xf numFmtId="1" fontId="55" fillId="46" borderId="17" xfId="109" applyNumberFormat="1" applyFont="1" applyFill="1" applyBorder="1" applyAlignment="1">
      <alignment horizontal="center" vertical="center" wrapText="1"/>
    </xf>
    <xf numFmtId="1" fontId="55" fillId="46" borderId="18" xfId="109" applyNumberFormat="1" applyFont="1" applyFill="1" applyBorder="1" applyAlignment="1">
      <alignment horizontal="center" vertical="center" wrapText="1"/>
    </xf>
    <xf numFmtId="0" fontId="55" fillId="46" borderId="18" xfId="109" applyFont="1" applyFill="1" applyBorder="1" applyAlignment="1">
      <alignment vertical="center" wrapText="1"/>
    </xf>
    <xf numFmtId="0" fontId="54" fillId="46" borderId="18" xfId="109" applyFont="1" applyFill="1" applyBorder="1" applyAlignment="1">
      <alignment horizontal="center" vertical="center"/>
    </xf>
    <xf numFmtId="164" fontId="54" fillId="46" borderId="11" xfId="158" applyFont="1" applyFill="1" applyBorder="1" applyAlignment="1">
      <alignment vertical="center"/>
    </xf>
    <xf numFmtId="164" fontId="54" fillId="46" borderId="12" xfId="158" applyFont="1" applyFill="1" applyBorder="1" applyAlignment="1">
      <alignment vertical="center"/>
    </xf>
    <xf numFmtId="164" fontId="54" fillId="46" borderId="13" xfId="158" applyFont="1" applyFill="1" applyBorder="1" applyAlignment="1">
      <alignment vertical="center"/>
    </xf>
    <xf numFmtId="2" fontId="54" fillId="46" borderId="0" xfId="79" applyNumberFormat="1" applyFont="1" applyFill="1" applyAlignment="1">
      <alignment horizontal="center" vertical="center"/>
    </xf>
    <xf numFmtId="10" fontId="54" fillId="0" borderId="0" xfId="169" applyNumberFormat="1" applyFont="1" applyFill="1" applyBorder="1" applyAlignment="1">
      <alignment horizontal="center" vertical="center"/>
    </xf>
    <xf numFmtId="17" fontId="54" fillId="0" borderId="0" xfId="169" applyNumberFormat="1" applyFont="1" applyFill="1" applyBorder="1" applyAlignment="1">
      <alignment horizontal="center" vertical="center"/>
    </xf>
    <xf numFmtId="0" fontId="54" fillId="46" borderId="0" xfId="0" applyFont="1" applyFill="1" applyAlignment="1">
      <alignment vertical="center"/>
    </xf>
    <xf numFmtId="165" fontId="54" fillId="0" borderId="14" xfId="109" applyNumberFormat="1" applyFont="1" applyFill="1" applyBorder="1" applyAlignment="1">
      <alignment horizontal="center" vertical="center" wrapText="1"/>
    </xf>
    <xf numFmtId="0" fontId="61" fillId="0" borderId="14" xfId="109" applyFont="1" applyFill="1" applyBorder="1" applyAlignment="1">
      <alignment vertical="center" wrapText="1"/>
    </xf>
    <xf numFmtId="0" fontId="61" fillId="0" borderId="14" xfId="109" applyFont="1" applyFill="1" applyBorder="1" applyAlignment="1">
      <alignment horizontal="center" vertical="center"/>
    </xf>
    <xf numFmtId="164" fontId="54" fillId="0" borderId="14" xfId="158" applyFont="1" applyFill="1" applyBorder="1" applyAlignment="1">
      <alignment vertical="center"/>
    </xf>
    <xf numFmtId="166" fontId="54" fillId="0" borderId="14" xfId="79" applyFont="1" applyFill="1" applyBorder="1" applyAlignment="1">
      <alignment vertical="center"/>
    </xf>
    <xf numFmtId="44" fontId="54" fillId="0" borderId="14" xfId="0" applyNumberFormat="1" applyFont="1" applyFill="1" applyBorder="1" applyAlignment="1">
      <alignment horizontal="center" vertical="center"/>
    </xf>
    <xf numFmtId="166" fontId="54" fillId="0" borderId="19" xfId="79" applyFont="1" applyFill="1" applyBorder="1" applyAlignment="1">
      <alignment vertical="center"/>
    </xf>
    <xf numFmtId="0" fontId="55" fillId="48" borderId="11" xfId="109" applyFont="1" applyFill="1" applyBorder="1" applyAlignment="1">
      <alignment vertical="center"/>
    </xf>
    <xf numFmtId="0" fontId="55" fillId="48" borderId="12" xfId="109" applyFont="1" applyFill="1" applyBorder="1" applyAlignment="1">
      <alignment vertical="center"/>
    </xf>
    <xf numFmtId="0" fontId="62" fillId="48" borderId="0" xfId="0" applyFont="1" applyFill="1" applyBorder="1"/>
    <xf numFmtId="0" fontId="54" fillId="48" borderId="12" xfId="109" applyFont="1" applyFill="1" applyBorder="1" applyAlignment="1">
      <alignment vertical="center"/>
    </xf>
    <xf numFmtId="166" fontId="54" fillId="48" borderId="12" xfId="79" applyFont="1" applyFill="1" applyBorder="1" applyAlignment="1">
      <alignment vertical="center"/>
    </xf>
    <xf numFmtId="166" fontId="55" fillId="48" borderId="14" xfId="79" applyFont="1" applyFill="1" applyBorder="1" applyAlignment="1">
      <alignment vertical="center"/>
    </xf>
    <xf numFmtId="2" fontId="54" fillId="48" borderId="0" xfId="79" applyNumberFormat="1" applyFont="1" applyFill="1" applyAlignment="1">
      <alignment horizontal="center" vertical="center"/>
    </xf>
    <xf numFmtId="10" fontId="54" fillId="48" borderId="0" xfId="169" applyNumberFormat="1" applyFont="1" applyFill="1" applyAlignment="1">
      <alignment horizontal="center" vertical="center"/>
    </xf>
    <xf numFmtId="0" fontId="54" fillId="48" borderId="0" xfId="0" applyFont="1" applyFill="1" applyAlignment="1">
      <alignment vertical="center"/>
    </xf>
    <xf numFmtId="1" fontId="55" fillId="46" borderId="11" xfId="109" applyNumberFormat="1" applyFont="1" applyFill="1" applyBorder="1" applyAlignment="1">
      <alignment horizontal="center" vertical="center" wrapText="1"/>
    </xf>
    <xf numFmtId="1" fontId="55" fillId="46" borderId="12" xfId="109" applyNumberFormat="1" applyFont="1" applyFill="1" applyBorder="1" applyAlignment="1">
      <alignment horizontal="center" vertical="center" wrapText="1"/>
    </xf>
    <xf numFmtId="0" fontId="55" fillId="46" borderId="12" xfId="109" applyFont="1" applyFill="1" applyBorder="1" applyAlignment="1">
      <alignment vertical="center" wrapText="1"/>
    </xf>
    <xf numFmtId="0" fontId="54" fillId="46" borderId="12" xfId="109" applyFont="1" applyFill="1" applyBorder="1" applyAlignment="1">
      <alignment horizontal="center" vertical="center"/>
    </xf>
    <xf numFmtId="166" fontId="54" fillId="46" borderId="12" xfId="79" applyFont="1" applyFill="1" applyBorder="1" applyAlignment="1">
      <alignment vertical="center"/>
    </xf>
    <xf numFmtId="166" fontId="54" fillId="46" borderId="13" xfId="79" applyFont="1" applyFill="1" applyBorder="1" applyAlignment="1">
      <alignment vertical="center"/>
    </xf>
    <xf numFmtId="10" fontId="54" fillId="46" borderId="0" xfId="169" applyNumberFormat="1" applyFont="1" applyFill="1" applyAlignment="1">
      <alignment horizontal="center" vertical="center"/>
    </xf>
    <xf numFmtId="0" fontId="54" fillId="0" borderId="14" xfId="109" applyNumberFormat="1" applyFont="1" applyFill="1" applyBorder="1" applyAlignment="1">
      <alignment horizontal="center" vertical="center" wrapText="1"/>
    </xf>
    <xf numFmtId="2" fontId="63" fillId="0" borderId="0" xfId="79" applyNumberFormat="1" applyFont="1" applyFill="1" applyAlignment="1">
      <alignment horizontal="center" vertical="center"/>
    </xf>
    <xf numFmtId="0" fontId="55" fillId="48" borderId="12" xfId="109" applyFont="1" applyFill="1" applyBorder="1" applyAlignment="1">
      <alignment vertical="center" wrapText="1"/>
    </xf>
    <xf numFmtId="0" fontId="55" fillId="48" borderId="57" xfId="109" applyFont="1" applyFill="1" applyBorder="1" applyAlignment="1">
      <alignment vertical="center"/>
    </xf>
    <xf numFmtId="166" fontId="55" fillId="48" borderId="57" xfId="79" applyFont="1" applyFill="1" applyBorder="1" applyAlignment="1">
      <alignment vertical="center"/>
    </xf>
    <xf numFmtId="43" fontId="54" fillId="48" borderId="0" xfId="168" applyFont="1" applyFill="1" applyAlignment="1">
      <alignment vertical="center"/>
    </xf>
    <xf numFmtId="43" fontId="54" fillId="0" borderId="0" xfId="0" applyNumberFormat="1" applyFont="1" applyFill="1" applyAlignment="1">
      <alignment vertical="center"/>
    </xf>
    <xf numFmtId="44" fontId="61" fillId="0" borderId="14" xfId="0" applyNumberFormat="1" applyFont="1" applyFill="1" applyBorder="1" applyAlignment="1">
      <alignment horizontal="center" vertical="center"/>
    </xf>
    <xf numFmtId="43" fontId="55" fillId="48" borderId="12" xfId="109" applyNumberFormat="1" applyFont="1" applyFill="1" applyBorder="1" applyAlignment="1">
      <alignment vertical="center"/>
    </xf>
    <xf numFmtId="166" fontId="55" fillId="48" borderId="12" xfId="79" applyFont="1" applyFill="1" applyBorder="1" applyAlignment="1">
      <alignment vertical="center"/>
    </xf>
    <xf numFmtId="0" fontId="61" fillId="0" borderId="0" xfId="109" applyFont="1" applyFill="1" applyBorder="1" applyAlignment="1">
      <alignment vertical="center"/>
    </xf>
    <xf numFmtId="0" fontId="55" fillId="48" borderId="12" xfId="109" applyNumberFormat="1" applyFont="1" applyFill="1" applyBorder="1" applyAlignment="1">
      <alignment vertical="center"/>
    </xf>
    <xf numFmtId="10" fontId="54" fillId="47" borderId="0" xfId="169" applyNumberFormat="1" applyFont="1" applyFill="1" applyAlignment="1">
      <alignment horizontal="center" vertical="center"/>
    </xf>
    <xf numFmtId="0" fontId="54" fillId="47" borderId="0" xfId="0" applyFont="1" applyFill="1" applyAlignment="1">
      <alignment vertical="center"/>
    </xf>
    <xf numFmtId="165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55" fillId="0" borderId="0" xfId="203" applyFont="1" applyAlignment="1">
      <alignment horizontal="center" vertical="center"/>
    </xf>
    <xf numFmtId="166" fontId="55" fillId="49" borderId="0" xfId="79" applyFont="1" applyFill="1" applyBorder="1" applyAlignment="1">
      <alignment horizontal="center" vertical="center"/>
    </xf>
    <xf numFmtId="0" fontId="55" fillId="0" borderId="0" xfId="109" applyFont="1" applyFill="1" applyBorder="1" applyAlignment="1">
      <alignment horizontal="center" vertical="center"/>
    </xf>
    <xf numFmtId="0" fontId="57" fillId="0" borderId="0" xfId="109" applyFont="1" applyFill="1" applyBorder="1" applyAlignment="1">
      <alignment horizontal="right" vertical="center"/>
    </xf>
    <xf numFmtId="0" fontId="61" fillId="0" borderId="0" xfId="93" applyFont="1" applyFill="1" applyBorder="1" applyAlignment="1">
      <alignment vertical="center"/>
    </xf>
    <xf numFmtId="0" fontId="61" fillId="0" borderId="0" xfId="158" applyNumberFormat="1" applyFont="1" applyFill="1" applyBorder="1" applyAlignment="1">
      <alignment horizontal="right" vertical="center"/>
    </xf>
    <xf numFmtId="164" fontId="61" fillId="0" borderId="0" xfId="158" applyFont="1" applyFill="1" applyAlignment="1">
      <alignment horizontal="center" vertical="center"/>
    </xf>
    <xf numFmtId="0" fontId="61" fillId="0" borderId="0" xfId="93" applyFont="1" applyFill="1" applyAlignment="1">
      <alignment vertical="center"/>
    </xf>
    <xf numFmtId="0" fontId="58" fillId="0" borderId="0" xfId="109" applyNumberFormat="1" applyFont="1" applyFill="1" applyBorder="1" applyAlignment="1">
      <alignment horizontal="left" vertical="center"/>
    </xf>
    <xf numFmtId="0" fontId="65" fillId="0" borderId="0" xfId="109" applyFont="1" applyFill="1" applyBorder="1" applyAlignment="1">
      <alignment horizontal="right" vertical="center"/>
    </xf>
    <xf numFmtId="0" fontId="66" fillId="0" borderId="0" xfId="93" applyFont="1" applyFill="1" applyBorder="1" applyAlignment="1">
      <alignment vertical="center"/>
    </xf>
    <xf numFmtId="0" fontId="67" fillId="0" borderId="0" xfId="93" applyFont="1" applyFill="1" applyBorder="1" applyAlignment="1">
      <alignment vertical="center"/>
    </xf>
    <xf numFmtId="0" fontId="67" fillId="0" borderId="0" xfId="158" applyNumberFormat="1" applyFont="1" applyFill="1" applyBorder="1" applyAlignment="1">
      <alignment horizontal="right" vertical="center"/>
    </xf>
    <xf numFmtId="164" fontId="67" fillId="0" borderId="0" xfId="158" applyFont="1" applyFill="1" applyAlignment="1">
      <alignment horizontal="center" vertical="center"/>
    </xf>
    <xf numFmtId="0" fontId="67" fillId="0" borderId="0" xfId="93" applyFont="1" applyFill="1" applyAlignment="1">
      <alignment vertical="center"/>
    </xf>
    <xf numFmtId="0" fontId="58" fillId="0" borderId="0" xfId="93" applyNumberFormat="1" applyFont="1" applyFill="1" applyAlignment="1">
      <alignment horizontal="right" vertical="center"/>
    </xf>
    <xf numFmtId="0" fontId="65" fillId="0" borderId="0" xfId="109" applyFont="1" applyFill="1" applyBorder="1" applyAlignment="1">
      <alignment horizontal="left" vertical="center"/>
    </xf>
    <xf numFmtId="0" fontId="55" fillId="0" borderId="0" xfId="109" applyNumberFormat="1" applyFont="1" applyFill="1" applyBorder="1" applyAlignment="1">
      <alignment horizontal="left" vertical="center"/>
    </xf>
    <xf numFmtId="0" fontId="59" fillId="0" borderId="0" xfId="93" applyFont="1" applyFill="1" applyBorder="1" applyAlignment="1">
      <alignment vertical="center"/>
    </xf>
    <xf numFmtId="0" fontId="57" fillId="0" borderId="0" xfId="93" applyFont="1" applyFill="1" applyBorder="1" applyAlignment="1">
      <alignment horizontal="center" vertical="center"/>
    </xf>
    <xf numFmtId="0" fontId="57" fillId="0" borderId="0" xfId="93" applyFont="1" applyFill="1" applyBorder="1" applyAlignment="1">
      <alignment vertical="center"/>
    </xf>
    <xf numFmtId="170" fontId="61" fillId="47" borderId="0" xfId="158" applyNumberFormat="1" applyFont="1" applyFill="1" applyBorder="1" applyAlignment="1">
      <alignment vertical="center"/>
    </xf>
    <xf numFmtId="9" fontId="61" fillId="47" borderId="0" xfId="112" applyFont="1" applyFill="1" applyBorder="1" applyAlignment="1">
      <alignment vertical="center"/>
    </xf>
    <xf numFmtId="0" fontId="61" fillId="47" borderId="0" xfId="93" applyFont="1" applyFill="1" applyBorder="1" applyAlignment="1">
      <alignment vertical="center"/>
    </xf>
    <xf numFmtId="9" fontId="57" fillId="47" borderId="14" xfId="112" applyFont="1" applyFill="1" applyBorder="1" applyAlignment="1">
      <alignment horizontal="center" vertical="center"/>
    </xf>
    <xf numFmtId="3" fontId="57" fillId="47" borderId="14" xfId="93" applyNumberFormat="1" applyFont="1" applyFill="1" applyBorder="1" applyAlignment="1">
      <alignment horizontal="center" vertical="center"/>
    </xf>
    <xf numFmtId="0" fontId="61" fillId="47" borderId="0" xfId="158" applyNumberFormat="1" applyFont="1" applyFill="1" applyBorder="1" applyAlignment="1">
      <alignment horizontal="right" vertical="center"/>
    </xf>
    <xf numFmtId="0" fontId="61" fillId="0" borderId="29" xfId="93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vertical="center"/>
    </xf>
    <xf numFmtId="10" fontId="61" fillId="0" borderId="11" xfId="112" applyNumberFormat="1" applyFont="1" applyFill="1" applyBorder="1" applyAlignment="1">
      <alignment horizontal="center" vertical="center"/>
    </xf>
    <xf numFmtId="10" fontId="61" fillId="0" borderId="14" xfId="112" applyNumberFormat="1" applyFont="1" applyFill="1" applyBorder="1" applyAlignment="1">
      <alignment horizontal="center" vertical="center"/>
    </xf>
    <xf numFmtId="9" fontId="61" fillId="0" borderId="0" xfId="112" applyFont="1" applyFill="1" applyBorder="1" applyAlignment="1">
      <alignment vertical="center"/>
    </xf>
    <xf numFmtId="43" fontId="61" fillId="0" borderId="0" xfId="170" applyFont="1" applyFill="1" applyBorder="1" applyAlignment="1">
      <alignment vertical="center"/>
    </xf>
    <xf numFmtId="43" fontId="61" fillId="0" borderId="0" xfId="170" applyFont="1" applyFill="1" applyBorder="1" applyAlignment="1">
      <alignment horizontal="center" vertical="center"/>
    </xf>
    <xf numFmtId="170" fontId="61" fillId="0" borderId="0" xfId="158" applyNumberFormat="1" applyFont="1" applyFill="1" applyBorder="1" applyAlignment="1">
      <alignment vertical="center"/>
    </xf>
    <xf numFmtId="43" fontId="61" fillId="47" borderId="0" xfId="170" applyFont="1" applyFill="1" applyBorder="1" applyAlignment="1">
      <alignment horizontal="center" vertical="center"/>
    </xf>
    <xf numFmtId="10" fontId="61" fillId="47" borderId="14" xfId="112" applyNumberFormat="1" applyFont="1" applyFill="1" applyBorder="1" applyAlignment="1">
      <alignment horizontal="center" vertical="center"/>
    </xf>
    <xf numFmtId="166" fontId="57" fillId="47" borderId="14" xfId="79" applyFont="1" applyFill="1" applyBorder="1" applyAlignment="1">
      <alignment vertical="center"/>
    </xf>
    <xf numFmtId="166" fontId="57" fillId="47" borderId="19" xfId="79" applyFont="1" applyFill="1" applyBorder="1" applyAlignment="1">
      <alignment vertical="center"/>
    </xf>
    <xf numFmtId="0" fontId="61" fillId="0" borderId="0" xfId="93" applyFont="1" applyFill="1" applyBorder="1" applyAlignment="1">
      <alignment horizontal="right" vertical="center"/>
    </xf>
    <xf numFmtId="9" fontId="57" fillId="0" borderId="0" xfId="112" applyFont="1" applyFill="1" applyBorder="1" applyAlignment="1">
      <alignment horizontal="center" vertical="center"/>
    </xf>
    <xf numFmtId="3" fontId="57" fillId="0" borderId="0" xfId="93" applyNumberFormat="1" applyFont="1" applyFill="1" applyBorder="1" applyAlignment="1">
      <alignment horizontal="center" vertical="center"/>
    </xf>
    <xf numFmtId="10" fontId="61" fillId="0" borderId="0" xfId="112" applyNumberFormat="1" applyFont="1" applyFill="1" applyBorder="1" applyAlignment="1">
      <alignment horizontal="center" vertical="center"/>
    </xf>
    <xf numFmtId="44" fontId="61" fillId="0" borderId="0" xfId="158" applyNumberFormat="1" applyFont="1" applyFill="1" applyBorder="1" applyAlignment="1">
      <alignment vertical="center"/>
    </xf>
    <xf numFmtId="166" fontId="57" fillId="0" borderId="0" xfId="79" applyFont="1" applyFill="1" applyBorder="1" applyAlignment="1">
      <alignment vertical="center"/>
    </xf>
    <xf numFmtId="166" fontId="55" fillId="49" borderId="0" xfId="79" applyFont="1" applyFill="1" applyBorder="1" applyAlignment="1">
      <alignment vertical="center"/>
    </xf>
    <xf numFmtId="165" fontId="61" fillId="0" borderId="0" xfId="94" applyNumberFormat="1" applyFont="1" applyBorder="1" applyAlignment="1">
      <alignment vertical="center"/>
    </xf>
    <xf numFmtId="0" fontId="61" fillId="0" borderId="0" xfId="94" applyFont="1" applyBorder="1" applyAlignment="1">
      <alignment vertical="center" wrapText="1"/>
    </xf>
    <xf numFmtId="0" fontId="61" fillId="0" borderId="0" xfId="94" applyFont="1" applyBorder="1" applyAlignment="1">
      <alignment vertical="center"/>
    </xf>
    <xf numFmtId="0" fontId="61" fillId="0" borderId="0" xfId="94" applyFont="1" applyAlignment="1">
      <alignment vertical="center"/>
    </xf>
    <xf numFmtId="0" fontId="67" fillId="0" borderId="0" xfId="94" applyFont="1" applyBorder="1" applyAlignment="1">
      <alignment vertical="center"/>
    </xf>
    <xf numFmtId="0" fontId="57" fillId="0" borderId="0" xfId="94" applyFont="1" applyBorder="1" applyAlignment="1">
      <alignment horizontal="right" vertical="center"/>
    </xf>
    <xf numFmtId="0" fontId="67" fillId="0" borderId="0" xfId="94" applyFont="1" applyAlignment="1">
      <alignment vertical="center"/>
    </xf>
    <xf numFmtId="0" fontId="65" fillId="0" borderId="0" xfId="94" applyFont="1" applyBorder="1" applyAlignment="1">
      <alignment horizontal="left" vertical="center" wrapText="1"/>
    </xf>
    <xf numFmtId="0" fontId="61" fillId="0" borderId="0" xfId="94" applyFont="1" applyBorder="1" applyAlignment="1">
      <alignment horizontal="left" vertical="center" wrapText="1"/>
    </xf>
    <xf numFmtId="0" fontId="67" fillId="0" borderId="0" xfId="94" applyFont="1" applyFill="1" applyAlignment="1">
      <alignment vertical="center"/>
    </xf>
    <xf numFmtId="0" fontId="67" fillId="0" borderId="0" xfId="94" applyFont="1" applyFill="1" applyProtection="1"/>
    <xf numFmtId="0" fontId="68" fillId="0" borderId="0" xfId="94" applyFont="1" applyFill="1" applyProtection="1"/>
    <xf numFmtId="0" fontId="61" fillId="0" borderId="17" xfId="94" applyFont="1" applyFill="1" applyBorder="1" applyProtection="1"/>
    <xf numFmtId="0" fontId="61" fillId="0" borderId="18" xfId="94" applyFont="1" applyFill="1" applyBorder="1" applyProtection="1"/>
    <xf numFmtId="0" fontId="61" fillId="0" borderId="55" xfId="94" applyFont="1" applyFill="1" applyBorder="1" applyProtection="1"/>
    <xf numFmtId="0" fontId="57" fillId="46" borderId="14" xfId="103" applyFont="1" applyFill="1" applyBorder="1" applyAlignment="1">
      <alignment horizontal="center" vertical="center"/>
    </xf>
    <xf numFmtId="0" fontId="57" fillId="46" borderId="14" xfId="109" applyFont="1" applyFill="1" applyBorder="1" applyAlignment="1">
      <alignment horizontal="center" vertical="center" wrapText="1"/>
    </xf>
    <xf numFmtId="1" fontId="61" fillId="0" borderId="34" xfId="109" applyNumberFormat="1" applyFont="1" applyFill="1" applyBorder="1" applyAlignment="1">
      <alignment horizontal="center" vertical="center" wrapText="1"/>
    </xf>
    <xf numFmtId="10" fontId="57" fillId="0" borderId="14" xfId="112" applyNumberFormat="1" applyFont="1" applyFill="1" applyBorder="1" applyAlignment="1">
      <alignment horizontal="center" vertical="center"/>
    </xf>
    <xf numFmtId="1" fontId="61" fillId="0" borderId="35" xfId="109" applyNumberFormat="1" applyFont="1" applyFill="1" applyBorder="1" applyAlignment="1">
      <alignment horizontal="center" vertical="center" wrapText="1"/>
    </xf>
    <xf numFmtId="0" fontId="61" fillId="0" borderId="28" xfId="109" applyFont="1" applyFill="1" applyBorder="1" applyAlignment="1">
      <alignment vertical="center" wrapText="1"/>
    </xf>
    <xf numFmtId="10" fontId="57" fillId="0" borderId="36" xfId="103" applyNumberFormat="1" applyFont="1" applyFill="1" applyBorder="1" applyAlignment="1">
      <alignment horizontal="center" vertical="center"/>
    </xf>
    <xf numFmtId="1" fontId="61" fillId="0" borderId="33" xfId="109" applyNumberFormat="1" applyFont="1" applyFill="1" applyBorder="1" applyAlignment="1">
      <alignment horizontal="center" vertical="center" wrapText="1"/>
    </xf>
    <xf numFmtId="0" fontId="61" fillId="0" borderId="12" xfId="109" applyFont="1" applyFill="1" applyBorder="1" applyAlignment="1">
      <alignment vertical="center" wrapText="1"/>
    </xf>
    <xf numFmtId="0" fontId="61" fillId="0" borderId="14" xfId="103" applyFont="1" applyFill="1" applyBorder="1" applyAlignment="1">
      <alignment horizontal="center" vertical="center"/>
    </xf>
    <xf numFmtId="10" fontId="61" fillId="0" borderId="14" xfId="103" applyNumberFormat="1" applyFont="1" applyFill="1" applyBorder="1" applyAlignment="1">
      <alignment horizontal="center" vertical="center"/>
    </xf>
    <xf numFmtId="10" fontId="61" fillId="0" borderId="0" xfId="169" applyNumberFormat="1" applyFont="1" applyAlignment="1">
      <alignment vertical="center"/>
    </xf>
    <xf numFmtId="10" fontId="57" fillId="46" borderId="14" xfId="112" applyNumberFormat="1" applyFont="1" applyFill="1" applyBorder="1" applyAlignment="1">
      <alignment horizontal="center" vertical="center"/>
    </xf>
    <xf numFmtId="10" fontId="57" fillId="46" borderId="28" xfId="103" applyNumberFormat="1" applyFont="1" applyFill="1" applyBorder="1" applyAlignment="1">
      <alignment horizontal="center" vertical="center" wrapText="1"/>
    </xf>
    <xf numFmtId="10" fontId="54" fillId="46" borderId="39" xfId="116" applyNumberFormat="1" applyFont="1" applyFill="1" applyBorder="1" applyAlignment="1">
      <alignment horizontal="center" vertical="center"/>
    </xf>
    <xf numFmtId="10" fontId="54" fillId="46" borderId="38" xfId="116" applyNumberFormat="1" applyFont="1" applyFill="1" applyBorder="1" applyAlignment="1">
      <alignment horizontal="center" vertical="center"/>
    </xf>
    <xf numFmtId="10" fontId="55" fillId="46" borderId="38" xfId="116" applyNumberFormat="1" applyFont="1" applyFill="1" applyBorder="1" applyAlignment="1">
      <alignment horizontal="center" vertical="center"/>
    </xf>
    <xf numFmtId="0" fontId="57" fillId="0" borderId="0" xfId="109" applyFont="1" applyFill="1" applyBorder="1" applyAlignment="1">
      <alignment vertical="center" wrapText="1"/>
    </xf>
    <xf numFmtId="10" fontId="69" fillId="0" borderId="0" xfId="116" applyNumberFormat="1" applyFont="1" applyFill="1" applyBorder="1" applyAlignment="1">
      <alignment horizontal="center" vertical="center"/>
    </xf>
    <xf numFmtId="10" fontId="57" fillId="0" borderId="0" xfId="116" applyNumberFormat="1" applyFont="1" applyFill="1" applyBorder="1" applyAlignment="1">
      <alignment horizontal="center" vertical="center"/>
    </xf>
    <xf numFmtId="0" fontId="61" fillId="50" borderId="32" xfId="94" applyFont="1" applyFill="1" applyBorder="1" applyProtection="1"/>
    <xf numFmtId="0" fontId="61" fillId="50" borderId="0" xfId="94" applyFont="1" applyFill="1" applyProtection="1"/>
    <xf numFmtId="0" fontId="70" fillId="50" borderId="0" xfId="94" applyFont="1" applyFill="1" applyProtection="1"/>
    <xf numFmtId="2" fontId="70" fillId="50" borderId="0" xfId="94" applyNumberFormat="1" applyFont="1" applyFill="1" applyProtection="1"/>
    <xf numFmtId="0" fontId="61" fillId="50" borderId="42" xfId="94" applyFont="1" applyFill="1" applyBorder="1" applyAlignment="1" applyProtection="1">
      <alignment horizontal="center" vertical="top"/>
    </xf>
    <xf numFmtId="0" fontId="61" fillId="49" borderId="0" xfId="94" applyFont="1" applyFill="1" applyProtection="1"/>
    <xf numFmtId="10" fontId="57" fillId="0" borderId="0" xfId="116" applyNumberFormat="1" applyFont="1" applyFill="1" applyBorder="1" applyAlignment="1">
      <alignment horizontal="center"/>
    </xf>
    <xf numFmtId="165" fontId="61" fillId="0" borderId="0" xfId="94" applyNumberFormat="1" applyFont="1" applyAlignment="1">
      <alignment vertical="center"/>
    </xf>
    <xf numFmtId="0" fontId="61" fillId="0" borderId="0" xfId="94" applyFont="1" applyAlignment="1">
      <alignment vertical="center" wrapText="1"/>
    </xf>
    <xf numFmtId="0" fontId="57" fillId="50" borderId="0" xfId="94" applyFont="1" applyFill="1" applyAlignment="1" applyProtection="1">
      <alignment horizontal="center"/>
    </xf>
    <xf numFmtId="0" fontId="57" fillId="50" borderId="0" xfId="94" applyFont="1" applyFill="1" applyAlignment="1" applyProtection="1"/>
    <xf numFmtId="0" fontId="57" fillId="0" borderId="0" xfId="94" applyFont="1" applyAlignment="1">
      <alignment horizontal="center" vertical="center" wrapText="1"/>
    </xf>
    <xf numFmtId="0" fontId="54" fillId="0" borderId="0" xfId="203" applyFont="1" applyAlignment="1">
      <alignment vertical="center"/>
    </xf>
    <xf numFmtId="0" fontId="60" fillId="0" borderId="0" xfId="109" applyNumberFormat="1" applyFont="1" applyFill="1" applyBorder="1" applyAlignment="1">
      <alignment horizontal="left" vertical="center"/>
    </xf>
    <xf numFmtId="0" fontId="56" fillId="0" borderId="0" xfId="203" applyFont="1" applyAlignment="1">
      <alignment vertical="center"/>
    </xf>
    <xf numFmtId="0" fontId="55" fillId="0" borderId="0" xfId="203" applyFont="1" applyAlignment="1">
      <alignment horizontal="right" vertical="center"/>
    </xf>
    <xf numFmtId="0" fontId="58" fillId="0" borderId="0" xfId="203" applyFont="1" applyAlignment="1">
      <alignment vertical="center"/>
    </xf>
    <xf numFmtId="0" fontId="60" fillId="0" borderId="0" xfId="203" applyFont="1" applyAlignment="1">
      <alignment vertical="center"/>
    </xf>
    <xf numFmtId="0" fontId="71" fillId="47" borderId="48" xfId="203" applyFont="1" applyFill="1" applyBorder="1" applyAlignment="1">
      <alignment horizontal="left" vertical="center" indent="1"/>
    </xf>
    <xf numFmtId="0" fontId="72" fillId="47" borderId="49" xfId="203" applyFont="1" applyFill="1" applyBorder="1" applyAlignment="1">
      <alignment vertical="center"/>
    </xf>
    <xf numFmtId="0" fontId="71" fillId="47" borderId="50" xfId="203" applyFont="1" applyFill="1" applyBorder="1" applyAlignment="1">
      <alignment horizontal="right" vertical="center" indent="1"/>
    </xf>
    <xf numFmtId="0" fontId="60" fillId="0" borderId="0" xfId="203" applyNumberFormat="1" applyFont="1" applyFill="1" applyAlignment="1">
      <alignment horizontal="right" vertical="center"/>
    </xf>
    <xf numFmtId="0" fontId="60" fillId="0" borderId="0" xfId="203" applyFont="1" applyAlignment="1">
      <alignment horizontal="center" vertical="center"/>
    </xf>
    <xf numFmtId="0" fontId="55" fillId="0" borderId="51" xfId="203" applyFont="1" applyBorder="1" applyAlignment="1">
      <alignment horizontal="center" vertical="center"/>
    </xf>
    <xf numFmtId="10" fontId="54" fillId="0" borderId="0" xfId="204" applyNumberFormat="1" applyFont="1" applyAlignment="1">
      <alignment horizontal="center" vertical="center"/>
    </xf>
    <xf numFmtId="0" fontId="54" fillId="0" borderId="51" xfId="203" applyFont="1" applyBorder="1" applyAlignment="1">
      <alignment horizontal="center" vertical="center"/>
    </xf>
    <xf numFmtId="0" fontId="54" fillId="0" borderId="51" xfId="203" applyFont="1" applyBorder="1" applyAlignment="1">
      <alignment horizontal="left" vertical="center" indent="1"/>
    </xf>
    <xf numFmtId="10" fontId="54" fillId="0" borderId="51" xfId="204" applyNumberFormat="1" applyFont="1" applyBorder="1" applyAlignment="1">
      <alignment horizontal="center" vertical="center"/>
    </xf>
    <xf numFmtId="0" fontId="54" fillId="52" borderId="51" xfId="203" applyFont="1" applyFill="1" applyBorder="1" applyAlignment="1">
      <alignment horizontal="center" vertical="center"/>
    </xf>
    <xf numFmtId="0" fontId="54" fillId="52" borderId="51" xfId="203" applyFont="1" applyFill="1" applyBorder="1" applyAlignment="1">
      <alignment horizontal="left" vertical="center" indent="1"/>
    </xf>
    <xf numFmtId="10" fontId="54" fillId="52" borderId="51" xfId="204" applyNumberFormat="1" applyFont="1" applyFill="1" applyBorder="1" applyAlignment="1">
      <alignment horizontal="center" vertical="center"/>
    </xf>
    <xf numFmtId="0" fontId="55" fillId="52" borderId="51" xfId="203" applyFont="1" applyFill="1" applyBorder="1" applyAlignment="1">
      <alignment horizontal="center" vertical="center"/>
    </xf>
    <xf numFmtId="10" fontId="55" fillId="52" borderId="51" xfId="204" applyNumberFormat="1" applyFont="1" applyFill="1" applyBorder="1" applyAlignment="1">
      <alignment horizontal="center" vertical="center"/>
    </xf>
    <xf numFmtId="0" fontId="55" fillId="0" borderId="0" xfId="203" applyFont="1" applyAlignment="1">
      <alignment vertical="center"/>
    </xf>
    <xf numFmtId="10" fontId="55" fillId="0" borderId="0" xfId="204" applyNumberFormat="1" applyFont="1" applyAlignment="1">
      <alignment horizontal="center" vertical="center"/>
    </xf>
    <xf numFmtId="10" fontId="55" fillId="0" borderId="51" xfId="204" applyNumberFormat="1" applyFont="1" applyBorder="1" applyAlignment="1">
      <alignment horizontal="center" vertical="center"/>
    </xf>
    <xf numFmtId="0" fontId="54" fillId="52" borderId="51" xfId="203" applyFont="1" applyFill="1" applyBorder="1" applyAlignment="1">
      <alignment horizontal="left" vertical="center" wrapText="1" indent="1"/>
    </xf>
    <xf numFmtId="10" fontId="73" fillId="51" borderId="51" xfId="204" applyNumberFormat="1" applyFont="1" applyFill="1" applyBorder="1" applyAlignment="1">
      <alignment horizontal="center" vertical="center"/>
    </xf>
    <xf numFmtId="0" fontId="55" fillId="0" borderId="0" xfId="109" applyFont="1" applyFill="1" applyBorder="1" applyAlignment="1">
      <alignment vertical="center"/>
    </xf>
    <xf numFmtId="0" fontId="74" fillId="0" borderId="0" xfId="0" applyNumberFormat="1" applyFont="1" applyFill="1" applyAlignment="1">
      <alignment vertical="center"/>
    </xf>
    <xf numFmtId="2" fontId="74" fillId="0" borderId="0" xfId="79" applyNumberFormat="1" applyFont="1" applyFill="1" applyAlignment="1">
      <alignment horizontal="center" vertical="center"/>
    </xf>
    <xf numFmtId="0" fontId="58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horizontal="right" vertical="center"/>
    </xf>
    <xf numFmtId="0" fontId="65" fillId="0" borderId="0" xfId="109" applyFont="1" applyFill="1" applyBorder="1" applyAlignment="1">
      <alignment vertical="center"/>
    </xf>
    <xf numFmtId="0" fontId="74" fillId="0" borderId="0" xfId="0" applyNumberFormat="1" applyFont="1" applyFill="1" applyBorder="1" applyAlignment="1">
      <alignment vertical="center"/>
    </xf>
    <xf numFmtId="0" fontId="58" fillId="0" borderId="0" xfId="109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165" fontId="58" fillId="0" borderId="11" xfId="109" applyNumberFormat="1" applyFont="1" applyFill="1" applyBorder="1" applyAlignment="1">
      <alignment horizontal="center" vertical="center"/>
    </xf>
    <xf numFmtId="0" fontId="58" fillId="0" borderId="12" xfId="109" applyFont="1" applyFill="1" applyBorder="1" applyAlignment="1">
      <alignment horizontal="left" vertical="center" wrapText="1"/>
    </xf>
    <xf numFmtId="0" fontId="58" fillId="0" borderId="12" xfId="109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6" xfId="109" applyFont="1" applyFill="1" applyBorder="1" applyAlignment="1">
      <alignment horizontal="center" vertical="center" wrapText="1"/>
    </xf>
    <xf numFmtId="1" fontId="58" fillId="46" borderId="17" xfId="109" applyNumberFormat="1" applyFont="1" applyFill="1" applyBorder="1" applyAlignment="1">
      <alignment horizontal="center" vertical="center" wrapText="1"/>
    </xf>
    <xf numFmtId="0" fontId="58" fillId="46" borderId="18" xfId="109" applyFont="1" applyFill="1" applyBorder="1" applyAlignment="1">
      <alignment vertical="center" wrapText="1"/>
    </xf>
    <xf numFmtId="0" fontId="74" fillId="46" borderId="18" xfId="109" applyFont="1" applyFill="1" applyBorder="1" applyAlignment="1">
      <alignment horizontal="center" vertical="center"/>
    </xf>
    <xf numFmtId="164" fontId="74" fillId="46" borderId="11" xfId="158" applyFont="1" applyFill="1" applyBorder="1" applyAlignment="1">
      <alignment vertical="center"/>
    </xf>
    <xf numFmtId="164" fontId="74" fillId="46" borderId="13" xfId="158" applyFont="1" applyFill="1" applyBorder="1" applyAlignment="1">
      <alignment vertical="center"/>
    </xf>
    <xf numFmtId="2" fontId="74" fillId="46" borderId="0" xfId="79" applyNumberFormat="1" applyFont="1" applyFill="1" applyAlignment="1">
      <alignment horizontal="center" vertical="center"/>
    </xf>
    <xf numFmtId="0" fontId="74" fillId="46" borderId="0" xfId="0" applyFont="1" applyFill="1" applyAlignment="1">
      <alignment vertical="center"/>
    </xf>
    <xf numFmtId="165" fontId="74" fillId="0" borderId="14" xfId="109" applyNumberFormat="1" applyFont="1" applyFill="1" applyBorder="1" applyAlignment="1">
      <alignment horizontal="center" vertical="center" wrapText="1"/>
    </xf>
    <xf numFmtId="0" fontId="66" fillId="0" borderId="14" xfId="109" applyFont="1" applyFill="1" applyBorder="1" applyAlignment="1">
      <alignment vertical="center" wrapText="1"/>
    </xf>
    <xf numFmtId="0" fontId="66" fillId="0" borderId="14" xfId="109" applyFont="1" applyFill="1" applyBorder="1" applyAlignment="1">
      <alignment horizontal="center" vertical="center"/>
    </xf>
    <xf numFmtId="164" fontId="74" fillId="0" borderId="14" xfId="158" applyFont="1" applyFill="1" applyBorder="1" applyAlignment="1">
      <alignment vertical="center"/>
    </xf>
    <xf numFmtId="0" fontId="74" fillId="0" borderId="14" xfId="79" applyNumberFormat="1" applyFont="1" applyFill="1" applyBorder="1" applyAlignment="1">
      <alignment horizontal="center" vertical="center" wrapText="1"/>
    </xf>
    <xf numFmtId="1" fontId="58" fillId="46" borderId="11" xfId="109" applyNumberFormat="1" applyFont="1" applyFill="1" applyBorder="1" applyAlignment="1">
      <alignment horizontal="center" vertical="center" wrapText="1"/>
    </xf>
    <xf numFmtId="0" fontId="58" fillId="46" borderId="12" xfId="109" applyFont="1" applyFill="1" applyBorder="1" applyAlignment="1">
      <alignment vertical="center" wrapText="1"/>
    </xf>
    <xf numFmtId="0" fontId="74" fillId="46" borderId="12" xfId="109" applyFont="1" applyFill="1" applyBorder="1" applyAlignment="1">
      <alignment horizontal="center" vertical="center"/>
    </xf>
    <xf numFmtId="164" fontId="74" fillId="46" borderId="12" xfId="158" applyFont="1" applyFill="1" applyBorder="1" applyAlignment="1">
      <alignment vertical="center"/>
    </xf>
    <xf numFmtId="166" fontId="74" fillId="46" borderId="13" xfId="79" applyFont="1" applyFill="1" applyBorder="1" applyAlignment="1">
      <alignment vertical="center"/>
    </xf>
    <xf numFmtId="2" fontId="75" fillId="0" borderId="0" xfId="79" applyNumberFormat="1" applyFont="1" applyFill="1" applyAlignment="1">
      <alignment horizontal="center" vertical="center"/>
    </xf>
    <xf numFmtId="164" fontId="66" fillId="0" borderId="14" xfId="158" applyFont="1" applyFill="1" applyBorder="1" applyAlignment="1">
      <alignment vertical="center"/>
    </xf>
    <xf numFmtId="0" fontId="66" fillId="0" borderId="0" xfId="109" applyFont="1" applyFill="1" applyBorder="1" applyAlignment="1">
      <alignment vertical="center"/>
    </xf>
    <xf numFmtId="165" fontId="74" fillId="0" borderId="0" xfId="0" applyNumberFormat="1" applyFont="1" applyFill="1" applyAlignment="1">
      <alignment vertical="center"/>
    </xf>
    <xf numFmtId="0" fontId="74" fillId="0" borderId="0" xfId="0" applyFont="1" applyFill="1" applyAlignment="1">
      <alignment vertical="center" wrapText="1"/>
    </xf>
    <xf numFmtId="43" fontId="74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166" fontId="58" fillId="49" borderId="0" xfId="79" applyFont="1" applyFill="1" applyBorder="1" applyAlignment="1">
      <alignment horizontal="center" vertical="center"/>
    </xf>
    <xf numFmtId="0" fontId="61" fillId="0" borderId="0" xfId="93" applyFont="1"/>
    <xf numFmtId="0" fontId="57" fillId="53" borderId="14" xfId="205" applyFont="1" applyFill="1" applyBorder="1" applyAlignment="1">
      <alignment horizontal="center" vertical="center" wrapText="1"/>
    </xf>
    <xf numFmtId="2" fontId="57" fillId="53" borderId="14" xfId="205" applyNumberFormat="1" applyFont="1" applyFill="1" applyBorder="1" applyAlignment="1">
      <alignment horizontal="center" vertical="center" wrapText="1"/>
    </xf>
    <xf numFmtId="4" fontId="57" fillId="53" borderId="14" xfId="205" applyNumberFormat="1" applyFont="1" applyFill="1" applyBorder="1" applyAlignment="1">
      <alignment horizontal="center" vertical="center" wrapText="1"/>
    </xf>
    <xf numFmtId="0" fontId="57" fillId="46" borderId="14" xfId="93" applyFont="1" applyFill="1" applyBorder="1" applyAlignment="1">
      <alignment horizontal="center" vertical="center"/>
    </xf>
    <xf numFmtId="49" fontId="57" fillId="46" borderId="14" xfId="93" applyNumberFormat="1" applyFont="1" applyFill="1" applyBorder="1" applyAlignment="1">
      <alignment horizontal="center" vertical="center"/>
    </xf>
    <xf numFmtId="0" fontId="76" fillId="54" borderId="14" xfId="205" applyFont="1" applyFill="1" applyBorder="1" applyAlignment="1">
      <alignment horizontal="left" vertical="center" wrapText="1"/>
    </xf>
    <xf numFmtId="0" fontId="76" fillId="54" borderId="14" xfId="205" applyFont="1" applyFill="1" applyBorder="1" applyAlignment="1">
      <alignment horizontal="center" vertical="center" wrapText="1"/>
    </xf>
    <xf numFmtId="4" fontId="76" fillId="54" borderId="14" xfId="205" applyNumberFormat="1" applyFont="1" applyFill="1" applyBorder="1" applyAlignment="1">
      <alignment horizontal="center" vertical="center" wrapText="1"/>
    </xf>
    <xf numFmtId="166" fontId="57" fillId="46" borderId="14" xfId="79" applyFont="1" applyFill="1" applyBorder="1" applyAlignment="1">
      <alignment horizontal="center" vertical="center"/>
    </xf>
    <xf numFmtId="0" fontId="61" fillId="0" borderId="14" xfId="93" applyFont="1" applyBorder="1" applyAlignment="1">
      <alignment horizontal="center" vertical="center"/>
    </xf>
    <xf numFmtId="0" fontId="61" fillId="0" borderId="14" xfId="93" applyFont="1" applyBorder="1" applyAlignment="1">
      <alignment horizontal="left" vertical="center"/>
    </xf>
    <xf numFmtId="44" fontId="61" fillId="0" borderId="14" xfId="93" applyNumberFormat="1" applyFont="1" applyBorder="1" applyAlignment="1">
      <alignment horizontal="center" vertical="center"/>
    </xf>
    <xf numFmtId="166" fontId="61" fillId="0" borderId="14" xfId="79" applyFont="1" applyBorder="1" applyAlignment="1">
      <alignment horizontal="center" vertical="center"/>
    </xf>
    <xf numFmtId="0" fontId="76" fillId="0" borderId="14" xfId="205" applyFont="1" applyFill="1" applyBorder="1" applyAlignment="1">
      <alignment horizontal="center" vertical="center" wrapText="1"/>
    </xf>
    <xf numFmtId="0" fontId="76" fillId="0" borderId="14" xfId="205" applyFont="1" applyFill="1" applyBorder="1" applyAlignment="1">
      <alignment horizontal="left" vertical="center" wrapText="1"/>
    </xf>
    <xf numFmtId="2" fontId="76" fillId="0" borderId="14" xfId="205" applyNumberFormat="1" applyFont="1" applyFill="1" applyBorder="1" applyAlignment="1">
      <alignment horizontal="center" vertical="center" wrapText="1"/>
    </xf>
    <xf numFmtId="44" fontId="61" fillId="0" borderId="14" xfId="93" applyNumberFormat="1" applyFont="1" applyFill="1" applyBorder="1" applyAlignment="1">
      <alignment horizontal="center" vertical="center"/>
    </xf>
    <xf numFmtId="166" fontId="61" fillId="0" borderId="14" xfId="79" applyFont="1" applyFill="1" applyBorder="1" applyAlignment="1">
      <alignment horizontal="center" vertical="center"/>
    </xf>
    <xf numFmtId="0" fontId="61" fillId="0" borderId="14" xfId="93" applyFont="1" applyBorder="1" applyAlignment="1">
      <alignment horizontal="left" vertical="center" wrapText="1"/>
    </xf>
    <xf numFmtId="0" fontId="61" fillId="0" borderId="0" xfId="93" applyFont="1" applyFill="1" applyBorder="1" applyAlignment="1">
      <alignment horizontal="center" vertical="center"/>
    </xf>
    <xf numFmtId="0" fontId="61" fillId="0" borderId="0" xfId="93" applyFont="1" applyBorder="1" applyAlignment="1">
      <alignment vertical="center" wrapText="1"/>
    </xf>
    <xf numFmtId="0" fontId="61" fillId="0" borderId="0" xfId="93" applyFont="1" applyBorder="1" applyAlignment="1">
      <alignment horizontal="center" vertical="center"/>
    </xf>
    <xf numFmtId="0" fontId="61" fillId="46" borderId="14" xfId="93" applyFont="1" applyFill="1" applyBorder="1"/>
    <xf numFmtId="172" fontId="57" fillId="0" borderId="14" xfId="93" applyNumberFormat="1" applyFont="1" applyFill="1" applyBorder="1" applyAlignment="1">
      <alignment horizontal="center" vertical="center"/>
    </xf>
    <xf numFmtId="10" fontId="57" fillId="0" borderId="14" xfId="79" applyNumberFormat="1" applyFont="1" applyFill="1" applyBorder="1" applyAlignment="1">
      <alignment horizontal="center" vertical="center"/>
    </xf>
    <xf numFmtId="166" fontId="57" fillId="0" borderId="14" xfId="79" applyFont="1" applyFill="1" applyBorder="1" applyAlignment="1">
      <alignment horizontal="center" vertical="center"/>
    </xf>
    <xf numFmtId="172" fontId="57" fillId="46" borderId="14" xfId="93" applyNumberFormat="1" applyFont="1" applyFill="1" applyBorder="1" applyAlignment="1">
      <alignment horizontal="center" vertical="center"/>
    </xf>
    <xf numFmtId="10" fontId="61" fillId="46" borderId="14" xfId="79" applyNumberFormat="1" applyFont="1" applyFill="1" applyBorder="1" applyAlignment="1">
      <alignment horizontal="center" vertical="center"/>
    </xf>
    <xf numFmtId="0" fontId="61" fillId="0" borderId="0" xfId="93" applyFont="1" applyFill="1" applyBorder="1" applyAlignment="1">
      <alignment vertical="center" wrapText="1"/>
    </xf>
    <xf numFmtId="172" fontId="57" fillId="0" borderId="0" xfId="93" applyNumberFormat="1" applyFont="1" applyFill="1" applyBorder="1" applyAlignment="1">
      <alignment horizontal="center" vertical="center"/>
    </xf>
    <xf numFmtId="10" fontId="61" fillId="0" borderId="0" xfId="79" applyNumberFormat="1" applyFont="1" applyFill="1" applyBorder="1" applyAlignment="1">
      <alignment horizontal="center" vertical="center"/>
    </xf>
    <xf numFmtId="166" fontId="57" fillId="0" borderId="0" xfId="79" applyFont="1" applyFill="1" applyBorder="1" applyAlignment="1">
      <alignment horizontal="center" vertical="center"/>
    </xf>
    <xf numFmtId="0" fontId="57" fillId="46" borderId="14" xfId="93" applyFont="1" applyFill="1" applyBorder="1" applyAlignment="1">
      <alignment vertical="center" wrapText="1"/>
    </xf>
    <xf numFmtId="0" fontId="61" fillId="0" borderId="14" xfId="93" applyFont="1" applyFill="1" applyBorder="1" applyAlignment="1">
      <alignment horizontal="center" vertical="center"/>
    </xf>
    <xf numFmtId="0" fontId="61" fillId="0" borderId="14" xfId="93" applyFont="1" applyBorder="1" applyAlignment="1">
      <alignment vertical="center" wrapText="1"/>
    </xf>
    <xf numFmtId="172" fontId="61" fillId="0" borderId="14" xfId="93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Border="1" applyAlignment="1">
      <alignment horizontal="left" vertical="center" wrapText="1"/>
    </xf>
    <xf numFmtId="177" fontId="61" fillId="0" borderId="14" xfId="93" applyNumberFormat="1" applyFont="1" applyBorder="1" applyAlignment="1">
      <alignment horizontal="center" vertical="center"/>
    </xf>
    <xf numFmtId="0" fontId="57" fillId="46" borderId="14" xfId="205" applyFont="1" applyFill="1" applyBorder="1" applyAlignment="1">
      <alignment horizontal="center" vertical="center" wrapText="1"/>
    </xf>
    <xf numFmtId="2" fontId="57" fillId="46" borderId="14" xfId="205" applyNumberFormat="1" applyFont="1" applyFill="1" applyBorder="1" applyAlignment="1">
      <alignment horizontal="center" vertical="center" wrapText="1"/>
    </xf>
    <xf numFmtId="4" fontId="57" fillId="46" borderId="14" xfId="205" applyNumberFormat="1" applyFont="1" applyFill="1" applyBorder="1" applyAlignment="1">
      <alignment horizontal="center" vertical="center" wrapText="1"/>
    </xf>
    <xf numFmtId="0" fontId="76" fillId="46" borderId="14" xfId="205" applyFont="1" applyFill="1" applyBorder="1" applyAlignment="1">
      <alignment horizontal="left" vertical="center" wrapText="1"/>
    </xf>
    <xf numFmtId="0" fontId="76" fillId="46" borderId="14" xfId="205" applyFont="1" applyFill="1" applyBorder="1" applyAlignment="1">
      <alignment horizontal="center" vertical="center" wrapText="1"/>
    </xf>
    <xf numFmtId="4" fontId="76" fillId="46" borderId="14" xfId="205" applyNumberFormat="1" applyFont="1" applyFill="1" applyBorder="1" applyAlignment="1">
      <alignment horizontal="center" vertical="center" wrapText="1"/>
    </xf>
    <xf numFmtId="0" fontId="61" fillId="0" borderId="14" xfId="93" applyFont="1" applyFill="1" applyBorder="1" applyAlignment="1">
      <alignment horizontal="left" vertical="center"/>
    </xf>
    <xf numFmtId="178" fontId="61" fillId="0" borderId="14" xfId="93" applyNumberFormat="1" applyFont="1" applyFill="1" applyBorder="1" applyAlignment="1">
      <alignment horizontal="center" vertical="center"/>
    </xf>
    <xf numFmtId="0" fontId="61" fillId="0" borderId="14" xfId="93" applyFont="1" applyFill="1" applyBorder="1" applyAlignment="1">
      <alignment horizontal="left" vertical="center" wrapText="1"/>
    </xf>
    <xf numFmtId="0" fontId="77" fillId="53" borderId="0" xfId="205" applyFont="1" applyFill="1" applyAlignment="1">
      <alignment horizontal="left" vertical="center" wrapText="1"/>
    </xf>
    <xf numFmtId="0" fontId="77" fillId="53" borderId="0" xfId="205" applyFont="1" applyFill="1" applyAlignment="1">
      <alignment horizontal="center" vertical="center" wrapText="1"/>
    </xf>
    <xf numFmtId="173" fontId="76" fillId="53" borderId="0" xfId="205" applyNumberFormat="1" applyFont="1" applyFill="1" applyAlignment="1">
      <alignment horizontal="center" vertical="center" wrapText="1"/>
    </xf>
    <xf numFmtId="0" fontId="76" fillId="53" borderId="14" xfId="205" applyFont="1" applyFill="1" applyBorder="1" applyAlignment="1">
      <alignment horizontal="center" vertical="center" wrapText="1"/>
    </xf>
    <xf numFmtId="0" fontId="76" fillId="54" borderId="0" xfId="205" applyFont="1" applyFill="1" applyAlignment="1">
      <alignment horizontal="center" vertical="center" wrapText="1"/>
    </xf>
    <xf numFmtId="0" fontId="76" fillId="54" borderId="0" xfId="205" applyFont="1" applyFill="1" applyAlignment="1">
      <alignment horizontal="left" vertical="center" wrapText="1"/>
    </xf>
    <xf numFmtId="173" fontId="76" fillId="54" borderId="0" xfId="205" applyNumberFormat="1" applyFont="1" applyFill="1" applyAlignment="1">
      <alignment horizontal="center" vertical="center" wrapText="1"/>
    </xf>
    <xf numFmtId="0" fontId="61" fillId="0" borderId="0" xfId="93" applyFont="1" applyAlignment="1">
      <alignment horizontal="center" vertical="center"/>
    </xf>
    <xf numFmtId="2" fontId="61" fillId="0" borderId="0" xfId="93" applyNumberFormat="1" applyFont="1" applyAlignment="1">
      <alignment horizontal="center" vertical="center"/>
    </xf>
    <xf numFmtId="174" fontId="76" fillId="54" borderId="14" xfId="205" applyNumberFormat="1" applyFont="1" applyFill="1" applyBorder="1" applyAlignment="1">
      <alignment horizontal="center" vertical="center" wrapText="1"/>
    </xf>
    <xf numFmtId="175" fontId="76" fillId="54" borderId="14" xfId="205" applyNumberFormat="1" applyFont="1" applyFill="1" applyBorder="1" applyAlignment="1">
      <alignment horizontal="center" vertical="center" wrapText="1"/>
    </xf>
    <xf numFmtId="43" fontId="61" fillId="0" borderId="0" xfId="93" applyNumberFormat="1" applyFont="1"/>
    <xf numFmtId="176" fontId="76" fillId="0" borderId="14" xfId="205" applyNumberFormat="1" applyFont="1" applyFill="1" applyBorder="1" applyAlignment="1">
      <alignment horizontal="center" vertical="center" wrapText="1"/>
    </xf>
    <xf numFmtId="4" fontId="76" fillId="0" borderId="14" xfId="205" applyNumberFormat="1" applyFont="1" applyFill="1" applyBorder="1" applyAlignment="1">
      <alignment horizontal="center" vertical="center" wrapText="1"/>
    </xf>
    <xf numFmtId="0" fontId="76" fillId="0" borderId="14" xfId="205" applyFont="1" applyFill="1" applyBorder="1" applyAlignment="1" applyProtection="1">
      <alignment horizontal="center" vertical="center" wrapText="1"/>
      <protection locked="0"/>
    </xf>
    <xf numFmtId="0" fontId="76" fillId="0" borderId="14" xfId="205" applyFont="1" applyFill="1" applyBorder="1" applyAlignment="1" applyProtection="1">
      <alignment horizontal="left" vertical="center" wrapText="1"/>
      <protection locked="0"/>
    </xf>
    <xf numFmtId="175" fontId="76" fillId="0" borderId="14" xfId="205" applyNumberFormat="1" applyFont="1" applyFill="1" applyBorder="1" applyAlignment="1" applyProtection="1">
      <alignment horizontal="center" vertical="center" wrapText="1"/>
      <protection locked="0"/>
    </xf>
    <xf numFmtId="174" fontId="76" fillId="0" borderId="14" xfId="205" applyNumberFormat="1" applyFont="1" applyFill="1" applyBorder="1" applyAlignment="1">
      <alignment horizontal="center" vertical="center" wrapText="1"/>
    </xf>
    <xf numFmtId="0" fontId="61" fillId="0" borderId="14" xfId="205" applyFont="1" applyFill="1" applyBorder="1" applyAlignment="1">
      <alignment horizontal="center" vertical="center" wrapText="1"/>
    </xf>
    <xf numFmtId="165" fontId="61" fillId="0" borderId="14" xfId="109" applyNumberFormat="1" applyFont="1" applyFill="1" applyBorder="1" applyAlignment="1">
      <alignment horizontal="center" vertical="center" wrapText="1"/>
    </xf>
    <xf numFmtId="0" fontId="61" fillId="0" borderId="14" xfId="109" applyNumberFormat="1" applyFont="1" applyFill="1" applyBorder="1" applyAlignment="1">
      <alignment horizontal="center" vertical="center" wrapText="1"/>
    </xf>
    <xf numFmtId="166" fontId="61" fillId="0" borderId="14" xfId="79" applyFont="1" applyFill="1" applyBorder="1" applyAlignment="1">
      <alignment vertical="center"/>
    </xf>
    <xf numFmtId="164" fontId="61" fillId="0" borderId="14" xfId="158" applyFont="1" applyFill="1" applyBorder="1" applyAlignment="1">
      <alignment vertical="center"/>
    </xf>
    <xf numFmtId="166" fontId="61" fillId="0" borderId="52" xfId="79" applyFont="1" applyFill="1" applyBorder="1" applyAlignment="1">
      <alignment vertical="center"/>
    </xf>
    <xf numFmtId="44" fontId="61" fillId="0" borderId="52" xfId="158" applyNumberFormat="1" applyFont="1" applyFill="1" applyBorder="1" applyAlignment="1">
      <alignment vertical="center"/>
    </xf>
    <xf numFmtId="0" fontId="61" fillId="0" borderId="52" xfId="93" applyFont="1" applyFill="1" applyBorder="1" applyAlignment="1">
      <alignment horizontal="center" vertical="center"/>
    </xf>
    <xf numFmtId="166" fontId="55" fillId="48" borderId="58" xfId="79" applyFont="1" applyFill="1" applyBorder="1" applyAlignment="1">
      <alignment vertical="center"/>
    </xf>
    <xf numFmtId="179" fontId="54" fillId="0" borderId="0" xfId="169" applyNumberFormat="1" applyFont="1" applyFill="1" applyAlignment="1">
      <alignment horizontal="center" vertical="center"/>
    </xf>
    <xf numFmtId="0" fontId="76" fillId="0" borderId="14" xfId="205" applyNumberFormat="1" applyFont="1" applyFill="1" applyBorder="1" applyAlignment="1">
      <alignment horizontal="center" vertical="center" wrapText="1"/>
    </xf>
    <xf numFmtId="0" fontId="61" fillId="0" borderId="14" xfId="93" applyNumberFormat="1" applyFont="1" applyFill="1" applyBorder="1" applyAlignment="1">
      <alignment horizontal="center" vertical="center"/>
    </xf>
    <xf numFmtId="0" fontId="6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7" fillId="46" borderId="14" xfId="93" applyNumberFormat="1" applyFont="1" applyFill="1" applyBorder="1" applyAlignment="1">
      <alignment horizontal="center" vertical="center"/>
    </xf>
    <xf numFmtId="0" fontId="76" fillId="54" borderId="0" xfId="205" applyNumberFormat="1" applyFont="1" applyFill="1" applyAlignment="1">
      <alignment horizontal="center" vertical="center" wrapText="1"/>
    </xf>
    <xf numFmtId="0" fontId="76" fillId="54" borderId="14" xfId="205" applyNumberFormat="1" applyFont="1" applyFill="1" applyBorder="1" applyAlignment="1">
      <alignment horizontal="center" vertical="center" wrapText="1"/>
    </xf>
    <xf numFmtId="0" fontId="61" fillId="0" borderId="14" xfId="93" applyNumberFormat="1" applyFont="1" applyBorder="1" applyAlignment="1">
      <alignment horizontal="center" vertical="center"/>
    </xf>
    <xf numFmtId="0" fontId="61" fillId="0" borderId="14" xfId="205" applyNumberFormat="1" applyFont="1" applyFill="1" applyBorder="1" applyAlignment="1">
      <alignment horizontal="center" vertical="center" wrapText="1"/>
    </xf>
    <xf numFmtId="166" fontId="54" fillId="0" borderId="0" xfId="169" applyNumberFormat="1" applyFont="1" applyFill="1" applyAlignment="1">
      <alignment horizontal="center" vertical="center"/>
    </xf>
    <xf numFmtId="166" fontId="54" fillId="0" borderId="0" xfId="79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 vertical="center"/>
    </xf>
    <xf numFmtId="0" fontId="55" fillId="47" borderId="11" xfId="109" applyFont="1" applyFill="1" applyBorder="1" applyAlignment="1">
      <alignment vertical="center"/>
    </xf>
    <xf numFmtId="0" fontId="55" fillId="47" borderId="12" xfId="109" applyNumberFormat="1" applyFont="1" applyFill="1" applyBorder="1" applyAlignment="1">
      <alignment vertical="center"/>
    </xf>
    <xf numFmtId="0" fontId="55" fillId="47" borderId="12" xfId="109" applyFont="1" applyFill="1" applyBorder="1" applyAlignment="1">
      <alignment vertical="center" wrapText="1"/>
    </xf>
    <xf numFmtId="0" fontId="55" fillId="47" borderId="12" xfId="109" applyFont="1" applyFill="1" applyBorder="1" applyAlignment="1">
      <alignment vertical="center"/>
    </xf>
    <xf numFmtId="166" fontId="55" fillId="47" borderId="12" xfId="79" applyFont="1" applyFill="1" applyBorder="1" applyAlignment="1">
      <alignment vertical="center"/>
    </xf>
    <xf numFmtId="166" fontId="55" fillId="47" borderId="14" xfId="79" quotePrefix="1" applyFont="1" applyFill="1" applyBorder="1" applyAlignment="1">
      <alignment vertical="center"/>
    </xf>
    <xf numFmtId="0" fontId="55" fillId="0" borderId="0" xfId="203" applyFont="1" applyAlignment="1">
      <alignment horizontal="left" vertical="center"/>
    </xf>
    <xf numFmtId="0" fontId="7" fillId="0" borderId="14" xfId="0" applyFont="1" applyBorder="1" applyAlignment="1">
      <alignment horizontal="center"/>
    </xf>
    <xf numFmtId="2" fontId="79" fillId="0" borderId="0" xfId="79" applyNumberFormat="1" applyFont="1" applyFill="1" applyAlignment="1">
      <alignment horizontal="center" vertical="center"/>
    </xf>
    <xf numFmtId="0" fontId="54" fillId="0" borderId="0" xfId="0" applyNumberFormat="1" applyFont="1" applyFill="1" applyAlignment="1">
      <alignment horizontal="left" vertical="center"/>
    </xf>
    <xf numFmtId="0" fontId="56" fillId="0" borderId="0" xfId="0" applyNumberFormat="1" applyFont="1" applyFill="1" applyAlignment="1">
      <alignment horizontal="left" vertical="center"/>
    </xf>
    <xf numFmtId="10" fontId="58" fillId="0" borderId="0" xfId="169" applyNumberFormat="1" applyFont="1" applyFill="1" applyAlignment="1">
      <alignment horizontal="left" vertical="center"/>
    </xf>
    <xf numFmtId="10" fontId="58" fillId="0" borderId="0" xfId="0" applyNumberFormat="1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46" borderId="0" xfId="0" applyFont="1" applyFill="1" applyAlignment="1">
      <alignment horizontal="left" vertical="center"/>
    </xf>
    <xf numFmtId="0" fontId="54" fillId="48" borderId="0" xfId="0" applyFont="1" applyFill="1" applyAlignment="1">
      <alignment horizontal="left" vertical="center"/>
    </xf>
    <xf numFmtId="43" fontId="54" fillId="0" borderId="0" xfId="0" applyNumberFormat="1" applyFont="1" applyFill="1" applyAlignment="1">
      <alignment horizontal="left" vertical="center"/>
    </xf>
    <xf numFmtId="0" fontId="54" fillId="47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53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0" fillId="0" borderId="13" xfId="0" applyBorder="1" applyAlignment="1">
      <alignment horizontal="right"/>
    </xf>
    <xf numFmtId="2" fontId="66" fillId="0" borderId="0" xfId="79" applyNumberFormat="1" applyFont="1" applyFill="1" applyAlignment="1">
      <alignment horizontal="center" vertical="center"/>
    </xf>
    <xf numFmtId="2" fontId="66" fillId="46" borderId="0" xfId="79" applyNumberFormat="1" applyFont="1" applyFill="1" applyAlignment="1">
      <alignment horizontal="center" vertical="center"/>
    </xf>
    <xf numFmtId="0" fontId="66" fillId="0" borderId="0" xfId="0" applyFont="1" applyFill="1" applyAlignment="1">
      <alignment vertical="center"/>
    </xf>
    <xf numFmtId="164" fontId="64" fillId="0" borderId="14" xfId="158" applyFont="1" applyFill="1" applyBorder="1" applyAlignment="1">
      <alignment vertical="center"/>
    </xf>
    <xf numFmtId="0" fontId="74" fillId="0" borderId="14" xfId="79" applyNumberFormat="1" applyFont="1" applyFill="1" applyBorder="1" applyAlignment="1">
      <alignment horizontal="center" vertical="center"/>
    </xf>
    <xf numFmtId="0" fontId="60" fillId="0" borderId="0" xfId="109" applyNumberFormat="1" applyFont="1" applyFill="1" applyBorder="1" applyAlignment="1">
      <alignment horizontal="center" vertical="center"/>
    </xf>
    <xf numFmtId="0" fontId="55" fillId="47" borderId="28" xfId="109" applyFont="1" applyFill="1" applyBorder="1" applyAlignment="1">
      <alignment horizontal="center" vertical="center" wrapText="1"/>
    </xf>
    <xf numFmtId="0" fontId="55" fillId="47" borderId="19" xfId="109" applyFont="1" applyFill="1" applyBorder="1" applyAlignment="1">
      <alignment horizontal="center" vertical="center" wrapText="1"/>
    </xf>
    <xf numFmtId="165" fontId="55" fillId="47" borderId="14" xfId="109" applyNumberFormat="1" applyFont="1" applyFill="1" applyBorder="1" applyAlignment="1">
      <alignment horizontal="center" vertical="center"/>
    </xf>
    <xf numFmtId="165" fontId="55" fillId="47" borderId="52" xfId="109" applyNumberFormat="1" applyFont="1" applyFill="1" applyBorder="1" applyAlignment="1">
      <alignment horizontal="center" vertical="center"/>
    </xf>
    <xf numFmtId="165" fontId="55" fillId="47" borderId="19" xfId="109" applyNumberFormat="1" applyFont="1" applyFill="1" applyBorder="1" applyAlignment="1">
      <alignment horizontal="center" vertical="center"/>
    </xf>
    <xf numFmtId="0" fontId="55" fillId="47" borderId="52" xfId="109" applyFont="1" applyFill="1" applyBorder="1" applyAlignment="1">
      <alignment horizontal="center" vertical="center" wrapText="1"/>
    </xf>
    <xf numFmtId="0" fontId="55" fillId="47" borderId="14" xfId="109" applyFont="1" applyFill="1" applyBorder="1" applyAlignment="1">
      <alignment horizontal="center" vertical="center"/>
    </xf>
    <xf numFmtId="0" fontId="55" fillId="47" borderId="52" xfId="109" applyFont="1" applyFill="1" applyBorder="1" applyAlignment="1">
      <alignment horizontal="center" vertical="center"/>
    </xf>
    <xf numFmtId="0" fontId="55" fillId="47" borderId="14" xfId="0" applyFont="1" applyFill="1" applyBorder="1" applyAlignment="1">
      <alignment horizontal="center" vertical="center"/>
    </xf>
    <xf numFmtId="0" fontId="55" fillId="47" borderId="52" xfId="0" applyFont="1" applyFill="1" applyBorder="1" applyAlignment="1">
      <alignment horizontal="center" vertical="center"/>
    </xf>
    <xf numFmtId="0" fontId="55" fillId="47" borderId="14" xfId="109" applyFont="1" applyFill="1" applyBorder="1" applyAlignment="1">
      <alignment horizontal="center" vertical="center" wrapText="1"/>
    </xf>
    <xf numFmtId="0" fontId="59" fillId="0" borderId="0" xfId="93" applyFont="1" applyFill="1" applyBorder="1" applyAlignment="1">
      <alignment horizontal="center" vertical="center"/>
    </xf>
    <xf numFmtId="9" fontId="57" fillId="0" borderId="0" xfId="112" applyFont="1" applyFill="1" applyBorder="1" applyAlignment="1">
      <alignment horizontal="center" vertical="center"/>
    </xf>
    <xf numFmtId="0" fontId="57" fillId="47" borderId="11" xfId="93" applyFont="1" applyFill="1" applyBorder="1" applyAlignment="1">
      <alignment horizontal="center" vertical="center"/>
    </xf>
    <xf numFmtId="0" fontId="57" fillId="47" borderId="13" xfId="93" applyFont="1" applyFill="1" applyBorder="1" applyAlignment="1">
      <alignment horizontal="center" vertical="center"/>
    </xf>
    <xf numFmtId="166" fontId="57" fillId="47" borderId="52" xfId="79" applyFont="1" applyFill="1" applyBorder="1" applyAlignment="1">
      <alignment horizontal="center" vertical="center"/>
    </xf>
    <xf numFmtId="166" fontId="57" fillId="47" borderId="19" xfId="79" applyFont="1" applyFill="1" applyBorder="1" applyAlignment="1">
      <alignment horizontal="center" vertical="center"/>
    </xf>
    <xf numFmtId="171" fontId="57" fillId="47" borderId="52" xfId="112" applyNumberFormat="1" applyFont="1" applyFill="1" applyBorder="1" applyAlignment="1">
      <alignment horizontal="center" vertical="center"/>
    </xf>
    <xf numFmtId="171" fontId="57" fillId="47" borderId="19" xfId="112" applyNumberFormat="1" applyFont="1" applyFill="1" applyBorder="1" applyAlignment="1">
      <alignment horizontal="center" vertical="center"/>
    </xf>
    <xf numFmtId="0" fontId="57" fillId="47" borderId="29" xfId="109" applyFont="1" applyFill="1" applyBorder="1" applyAlignment="1">
      <alignment horizontal="center" vertical="center" wrapText="1"/>
    </xf>
    <xf numFmtId="0" fontId="57" fillId="47" borderId="17" xfId="109" applyFont="1" applyFill="1" applyBorder="1" applyAlignment="1">
      <alignment horizontal="center" vertical="center" wrapText="1"/>
    </xf>
    <xf numFmtId="0" fontId="57" fillId="47" borderId="14" xfId="93" applyFont="1" applyFill="1" applyBorder="1" applyAlignment="1">
      <alignment horizontal="center" vertical="center"/>
    </xf>
    <xf numFmtId="9" fontId="57" fillId="47" borderId="11" xfId="112" applyFont="1" applyFill="1" applyBorder="1" applyAlignment="1">
      <alignment horizontal="center" vertical="center"/>
    </xf>
    <xf numFmtId="9" fontId="57" fillId="47" borderId="13" xfId="112" applyFont="1" applyFill="1" applyBorder="1" applyAlignment="1">
      <alignment horizontal="center" vertical="center"/>
    </xf>
    <xf numFmtId="10" fontId="61" fillId="0" borderId="11" xfId="112" applyNumberFormat="1" applyFont="1" applyFill="1" applyBorder="1" applyAlignment="1">
      <alignment horizontal="left" vertical="center"/>
    </xf>
    <xf numFmtId="10" fontId="61" fillId="0" borderId="13" xfId="112" applyNumberFormat="1" applyFont="1" applyFill="1" applyBorder="1" applyAlignment="1">
      <alignment horizontal="left" vertical="center"/>
    </xf>
    <xf numFmtId="1" fontId="57" fillId="46" borderId="33" xfId="109" applyNumberFormat="1" applyFont="1" applyFill="1" applyBorder="1" applyAlignment="1">
      <alignment horizontal="center" vertical="center" wrapText="1"/>
    </xf>
    <xf numFmtId="1" fontId="57" fillId="46" borderId="13" xfId="109" applyNumberFormat="1" applyFont="1" applyFill="1" applyBorder="1" applyAlignment="1">
      <alignment horizontal="center" vertical="center" wrapText="1"/>
    </xf>
    <xf numFmtId="1" fontId="57" fillId="46" borderId="37" xfId="109" applyNumberFormat="1" applyFont="1" applyFill="1" applyBorder="1" applyAlignment="1">
      <alignment horizontal="center" vertical="center" wrapText="1"/>
    </xf>
    <xf numFmtId="1" fontId="57" fillId="46" borderId="38" xfId="109" applyNumberFormat="1" applyFont="1" applyFill="1" applyBorder="1" applyAlignment="1">
      <alignment horizontal="center" vertical="center" wrapText="1"/>
    </xf>
    <xf numFmtId="0" fontId="57" fillId="49" borderId="31" xfId="94" applyFont="1" applyFill="1" applyBorder="1" applyAlignment="1" applyProtection="1">
      <alignment horizontal="center" vertical="center"/>
    </xf>
    <xf numFmtId="0" fontId="57" fillId="49" borderId="32" xfId="94" applyFont="1" applyFill="1" applyBorder="1" applyAlignment="1" applyProtection="1">
      <alignment horizontal="center" vertical="center"/>
    </xf>
    <xf numFmtId="0" fontId="57" fillId="49" borderId="40" xfId="94" applyFont="1" applyFill="1" applyBorder="1" applyAlignment="1" applyProtection="1">
      <alignment horizontal="center" vertical="center"/>
    </xf>
    <xf numFmtId="0" fontId="61" fillId="50" borderId="30" xfId="94" applyFont="1" applyFill="1" applyBorder="1" applyAlignment="1" applyProtection="1">
      <alignment horizontal="center" vertical="center"/>
    </xf>
    <xf numFmtId="0" fontId="61" fillId="50" borderId="37" xfId="94" applyFont="1" applyFill="1" applyBorder="1" applyAlignment="1" applyProtection="1">
      <alignment horizontal="center" vertical="center"/>
    </xf>
    <xf numFmtId="0" fontId="61" fillId="50" borderId="41" xfId="94" applyFont="1" applyFill="1" applyBorder="1" applyAlignment="1" applyProtection="1">
      <alignment horizontal="left" vertical="center"/>
    </xf>
    <xf numFmtId="0" fontId="61" fillId="50" borderId="43" xfId="94" applyFont="1" applyFill="1" applyBorder="1" applyAlignment="1" applyProtection="1">
      <alignment horizontal="left" vertical="center"/>
    </xf>
    <xf numFmtId="0" fontId="57" fillId="0" borderId="0" xfId="94" applyFont="1" applyBorder="1" applyAlignment="1">
      <alignment horizontal="left" vertical="center" wrapText="1"/>
    </xf>
    <xf numFmtId="165" fontId="57" fillId="0" borderId="14" xfId="94" applyNumberFormat="1" applyFont="1" applyBorder="1" applyAlignment="1">
      <alignment horizontal="center" vertical="center"/>
    </xf>
    <xf numFmtId="0" fontId="61" fillId="0" borderId="29" xfId="109" applyFont="1" applyFill="1" applyBorder="1" applyAlignment="1">
      <alignment horizontal="left" vertical="center"/>
    </xf>
    <xf numFmtId="0" fontId="61" fillId="0" borderId="15" xfId="109" applyFont="1" applyFill="1" applyBorder="1" applyAlignment="1">
      <alignment horizontal="left" vertical="center"/>
    </xf>
    <xf numFmtId="0" fontId="61" fillId="0" borderId="16" xfId="109" applyFont="1" applyFill="1" applyBorder="1" applyAlignment="1">
      <alignment horizontal="left" vertical="center"/>
    </xf>
    <xf numFmtId="0" fontId="57" fillId="0" borderId="53" xfId="94" applyFont="1" applyFill="1" applyBorder="1" applyAlignment="1" applyProtection="1">
      <alignment horizontal="center"/>
    </xf>
    <xf numFmtId="0" fontId="57" fillId="0" borderId="0" xfId="94" applyFont="1" applyFill="1" applyBorder="1" applyAlignment="1" applyProtection="1">
      <alignment horizontal="center"/>
    </xf>
    <xf numFmtId="0" fontId="57" fillId="0" borderId="54" xfId="94" applyFont="1" applyFill="1" applyBorder="1" applyAlignment="1" applyProtection="1">
      <alignment horizontal="center"/>
    </xf>
    <xf numFmtId="0" fontId="57" fillId="0" borderId="14" xfId="94" applyFont="1" applyFill="1" applyBorder="1" applyAlignment="1" applyProtection="1">
      <alignment horizontal="center" vertical="center" wrapText="1"/>
    </xf>
    <xf numFmtId="0" fontId="57" fillId="0" borderId="14" xfId="94" applyFont="1" applyBorder="1" applyAlignment="1">
      <alignment horizontal="center" vertical="center"/>
    </xf>
    <xf numFmtId="0" fontId="57" fillId="0" borderId="11" xfId="109" applyFont="1" applyFill="1" applyBorder="1" applyAlignment="1">
      <alignment horizontal="center" vertical="center" wrapText="1"/>
    </xf>
    <xf numFmtId="0" fontId="57" fillId="0" borderId="12" xfId="109" applyFont="1" applyFill="1" applyBorder="1" applyAlignment="1">
      <alignment horizontal="center" vertical="center" wrapText="1"/>
    </xf>
    <xf numFmtId="0" fontId="57" fillId="0" borderId="13" xfId="109" applyFont="1" applyFill="1" applyBorder="1" applyAlignment="1">
      <alignment horizontal="center" vertical="center" wrapText="1"/>
    </xf>
    <xf numFmtId="0" fontId="57" fillId="46" borderId="33" xfId="109" applyFont="1" applyFill="1" applyBorder="1" applyAlignment="1">
      <alignment horizontal="center" vertical="center" wrapText="1"/>
    </xf>
    <xf numFmtId="0" fontId="57" fillId="46" borderId="13" xfId="109" applyFont="1" applyFill="1" applyBorder="1" applyAlignment="1">
      <alignment horizontal="center" vertical="center" wrapText="1"/>
    </xf>
    <xf numFmtId="10" fontId="61" fillId="0" borderId="12" xfId="112" applyNumberFormat="1" applyFont="1" applyFill="1" applyBorder="1" applyAlignment="1">
      <alignment horizontal="left" vertical="center"/>
    </xf>
    <xf numFmtId="0" fontId="61" fillId="0" borderId="0" xfId="94" applyFont="1" applyBorder="1" applyAlignment="1">
      <alignment horizontal="left" vertical="center" wrapText="1"/>
    </xf>
    <xf numFmtId="0" fontId="71" fillId="47" borderId="0" xfId="203" applyFont="1" applyFill="1" applyAlignment="1">
      <alignment horizontal="center" vertical="center"/>
    </xf>
    <xf numFmtId="0" fontId="71" fillId="51" borderId="51" xfId="203" applyFont="1" applyFill="1" applyBorder="1" applyAlignment="1">
      <alignment horizontal="center" vertical="center"/>
    </xf>
    <xf numFmtId="0" fontId="55" fillId="0" borderId="51" xfId="203" applyFont="1" applyBorder="1" applyAlignment="1">
      <alignment horizontal="center" vertical="center"/>
    </xf>
    <xf numFmtId="0" fontId="71" fillId="47" borderId="51" xfId="203" applyFont="1" applyFill="1" applyBorder="1" applyAlignment="1">
      <alignment horizontal="center" vertical="center"/>
    </xf>
    <xf numFmtId="10" fontId="55" fillId="0" borderId="0" xfId="204" applyNumberFormat="1" applyFont="1" applyAlignment="1">
      <alignment horizontal="center" vertical="center"/>
    </xf>
    <xf numFmtId="0" fontId="73" fillId="51" borderId="51" xfId="203" applyFont="1" applyFill="1" applyBorder="1" applyAlignment="1">
      <alignment horizontal="center" vertical="center"/>
    </xf>
    <xf numFmtId="10" fontId="73" fillId="51" borderId="48" xfId="204" applyNumberFormat="1" applyFont="1" applyFill="1" applyBorder="1" applyAlignment="1">
      <alignment horizontal="center" vertical="center"/>
    </xf>
    <xf numFmtId="10" fontId="73" fillId="51" borderId="50" xfId="204" applyNumberFormat="1" applyFont="1" applyFill="1" applyBorder="1" applyAlignment="1">
      <alignment horizontal="center" vertical="center"/>
    </xf>
    <xf numFmtId="0" fontId="78" fillId="46" borderId="18" xfId="93" applyFont="1" applyFill="1" applyBorder="1" applyAlignment="1">
      <alignment horizontal="center" vertical="center"/>
    </xf>
    <xf numFmtId="0" fontId="58" fillId="47" borderId="56" xfId="109" applyFont="1" applyFill="1" applyBorder="1" applyAlignment="1">
      <alignment horizontal="center" vertical="center" wrapText="1"/>
    </xf>
    <xf numFmtId="0" fontId="58" fillId="47" borderId="55" xfId="109" applyFont="1" applyFill="1" applyBorder="1" applyAlignment="1">
      <alignment horizontal="center" vertical="center" wrapText="1"/>
    </xf>
    <xf numFmtId="0" fontId="58" fillId="0" borderId="0" xfId="109" applyNumberFormat="1" applyFont="1" applyFill="1" applyBorder="1" applyAlignment="1">
      <alignment horizontal="center" vertical="center"/>
    </xf>
    <xf numFmtId="165" fontId="58" fillId="47" borderId="14" xfId="109" applyNumberFormat="1" applyFont="1" applyFill="1" applyBorder="1" applyAlignment="1">
      <alignment horizontal="center" vertical="center"/>
    </xf>
    <xf numFmtId="165" fontId="58" fillId="47" borderId="20" xfId="109" applyNumberFormat="1" applyFont="1" applyFill="1" applyBorder="1" applyAlignment="1">
      <alignment horizontal="center" vertical="center"/>
    </xf>
    <xf numFmtId="0" fontId="58" fillId="47" borderId="52" xfId="109" applyFont="1" applyFill="1" applyBorder="1" applyAlignment="1">
      <alignment horizontal="center" vertical="center" wrapText="1"/>
    </xf>
    <xf numFmtId="0" fontId="58" fillId="47" borderId="19" xfId="109" applyFont="1" applyFill="1" applyBorder="1" applyAlignment="1">
      <alignment horizontal="center" vertical="center" wrapText="1"/>
    </xf>
    <xf numFmtId="0" fontId="58" fillId="47" borderId="14" xfId="109" applyFont="1" applyFill="1" applyBorder="1" applyAlignment="1">
      <alignment horizontal="center" vertical="center"/>
    </xf>
    <xf numFmtId="0" fontId="58" fillId="47" borderId="20" xfId="109" applyFont="1" applyFill="1" applyBorder="1" applyAlignment="1">
      <alignment horizontal="center" vertical="center"/>
    </xf>
    <xf numFmtId="0" fontId="58" fillId="47" borderId="14" xfId="0" applyFont="1" applyFill="1" applyBorder="1" applyAlignment="1">
      <alignment horizontal="center" vertical="center"/>
    </xf>
    <xf numFmtId="0" fontId="58" fillId="47" borderId="20" xfId="0" applyFont="1" applyFill="1" applyBorder="1" applyAlignment="1">
      <alignment horizontal="center" vertical="center"/>
    </xf>
  </cellXfs>
  <cellStyles count="207">
    <cellStyle name="20% - Ênfase1 2" xfId="1"/>
    <cellStyle name="20% - Ênfase1 2 2" xfId="171"/>
    <cellStyle name="20% - Ênfase2 2" xfId="2"/>
    <cellStyle name="20% - Ênfase2 2 2" xfId="172"/>
    <cellStyle name="20% - Ênfase3 2" xfId="3"/>
    <cellStyle name="20% - Ênfase3 2 2" xfId="173"/>
    <cellStyle name="20% - Ênfase4 2" xfId="4"/>
    <cellStyle name="20% - Ênfase4 2 2" xfId="174"/>
    <cellStyle name="20% - Ênfase5 2" xfId="5"/>
    <cellStyle name="20% - Ênfase5 2 2" xfId="175"/>
    <cellStyle name="20% - Ênfase6 2" xfId="6"/>
    <cellStyle name="20% - Ênfase6 2 2" xfId="176"/>
    <cellStyle name="40% - Ênfase1 2" xfId="7"/>
    <cellStyle name="40% - Ênfase1 2 2" xfId="177"/>
    <cellStyle name="40% - Ênfase2 2" xfId="8"/>
    <cellStyle name="40% - Ênfase2 2 2" xfId="178"/>
    <cellStyle name="40% - Ênfase3 2" xfId="9"/>
    <cellStyle name="40% - Ênfase3 2 2" xfId="179"/>
    <cellStyle name="40% - Ênfase4 2" xfId="10"/>
    <cellStyle name="40% - Ênfase4 2 2" xfId="180"/>
    <cellStyle name="40% - Ênfase5 2" xfId="11"/>
    <cellStyle name="40% - Ênfase5 2 2" xfId="181"/>
    <cellStyle name="40% - Ênfase6 2" xfId="12"/>
    <cellStyle name="40% - Ênfase6 2 2" xfId="18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álculo 2 2" xfId="183"/>
    <cellStyle name="Célula de Verificação 2" xfId="21"/>
    <cellStyle name="Célula Vinculada 2" xfId="22"/>
    <cellStyle name="ConditionalStyle_1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Entrada 2 2" xfId="184"/>
    <cellStyle name="Excel Built-in 20% - Accent1" xfId="31"/>
    <cellStyle name="Excel Built-in 20% - Accent2" xfId="32"/>
    <cellStyle name="Excel Built-in 20% - Accent3" xfId="33"/>
    <cellStyle name="Excel Built-in 20% - Accent4" xfId="34"/>
    <cellStyle name="Excel Built-in 20% - Accent5" xfId="35"/>
    <cellStyle name="Excel Built-in 20% - Accent6" xfId="36"/>
    <cellStyle name="Excel Built-in 40% - Accent1" xfId="37"/>
    <cellStyle name="Excel Built-in 40% - Accent2" xfId="38"/>
    <cellStyle name="Excel Built-in 40% - Accent3" xfId="39"/>
    <cellStyle name="Excel Built-in 40% - Accent4" xfId="40"/>
    <cellStyle name="Excel Built-in 40% - Accent5" xfId="41"/>
    <cellStyle name="Excel Built-in 40% - Accent6" xfId="42"/>
    <cellStyle name="Excel Built-in 60% - Accent1" xfId="43"/>
    <cellStyle name="Excel Built-in 60% - Accent2" xfId="44"/>
    <cellStyle name="Excel Built-in 60% - Accent3" xfId="45"/>
    <cellStyle name="Excel Built-in 60% - Accent4" xfId="46"/>
    <cellStyle name="Excel Built-in 60% - Accent5" xfId="47"/>
    <cellStyle name="Excel Built-in 60% - Accent6" xfId="48"/>
    <cellStyle name="Excel Built-in Accent1" xfId="49"/>
    <cellStyle name="Excel Built-in Accent2" xfId="50"/>
    <cellStyle name="Excel Built-in Accent3" xfId="51"/>
    <cellStyle name="Excel Built-in Accent4" xfId="52"/>
    <cellStyle name="Excel Built-in Accent5" xfId="53"/>
    <cellStyle name="Excel Built-in Accent6" xfId="54"/>
    <cellStyle name="Excel Built-in Bad" xfId="55"/>
    <cellStyle name="Excel Built-in Calculation" xfId="56"/>
    <cellStyle name="Excel Built-in Check Cell" xfId="57"/>
    <cellStyle name="Excel Built-in Comma" xfId="58"/>
    <cellStyle name="Excel Built-in Currency" xfId="59"/>
    <cellStyle name="Excel Built-in Explanatory Text" xfId="60"/>
    <cellStyle name="Excel Built-in Good" xfId="61"/>
    <cellStyle name="Excel Built-in Heading 1" xfId="62"/>
    <cellStyle name="Excel Built-in Heading 2" xfId="63"/>
    <cellStyle name="Excel Built-in Heading 3" xfId="64"/>
    <cellStyle name="Excel Built-in Heading 4" xfId="65"/>
    <cellStyle name="Excel Built-in Input" xfId="66"/>
    <cellStyle name="Excel Built-in Linked Cell" xfId="67"/>
    <cellStyle name="Excel Built-in Neutral" xfId="68"/>
    <cellStyle name="Excel Built-in Note" xfId="69"/>
    <cellStyle name="Excel Built-in Output" xfId="70"/>
    <cellStyle name="Excel Built-in Percent" xfId="71"/>
    <cellStyle name="Excel Built-in Title" xfId="72"/>
    <cellStyle name="Excel Built-in Total" xfId="73"/>
    <cellStyle name="Excel Built-in Warning Text" xfId="74"/>
    <cellStyle name="Excel_BuiltIn_Comma" xfId="75"/>
    <cellStyle name="Heading" xfId="76"/>
    <cellStyle name="Heading1" xfId="77"/>
    <cellStyle name="Incorreto 2" xfId="78"/>
    <cellStyle name="Moeda" xfId="79" builtinId="4"/>
    <cellStyle name="Moeda 2" xfId="80"/>
    <cellStyle name="Moeda 2 2" xfId="81"/>
    <cellStyle name="Moeda 2 3" xfId="82"/>
    <cellStyle name="Moeda 3" xfId="83"/>
    <cellStyle name="Moeda 3 2" xfId="84"/>
    <cellStyle name="Moeda 4" xfId="85"/>
    <cellStyle name="Moeda 5" xfId="86"/>
    <cellStyle name="Moeda 5 2" xfId="87"/>
    <cellStyle name="Moeda 6" xfId="88"/>
    <cellStyle name="Neutra 2" xfId="89"/>
    <cellStyle name="Normal" xfId="0" builtinId="0"/>
    <cellStyle name="Normal 10" xfId="90"/>
    <cellStyle name="Normal 10 2" xfId="185"/>
    <cellStyle name="Normal 11" xfId="91"/>
    <cellStyle name="Normal 12" xfId="92"/>
    <cellStyle name="Normal 13" xfId="166"/>
    <cellStyle name="Normal 13 2" xfId="203"/>
    <cellStyle name="Normal 13 3" xfId="198"/>
    <cellStyle name="Normal 16" xfId="93"/>
    <cellStyle name="Normal 16 2" xfId="94"/>
    <cellStyle name="Normal 16_DAER -  Pontal" xfId="95"/>
    <cellStyle name="Normal 2" xfId="96"/>
    <cellStyle name="Normal 2 2" xfId="97"/>
    <cellStyle name="Normal 2_cronogramas físico financeiro e histograma 2" xfId="98"/>
    <cellStyle name="Normal 3" xfId="99"/>
    <cellStyle name="Normal 4" xfId="100"/>
    <cellStyle name="Normal 4 2" xfId="186"/>
    <cellStyle name="Normal 5" xfId="101"/>
    <cellStyle name="Normal 5 2" xfId="187"/>
    <cellStyle name="Normal 6" xfId="102"/>
    <cellStyle name="Normal 6 2" xfId="188"/>
    <cellStyle name="Normal 7" xfId="103"/>
    <cellStyle name="Normal 7 2" xfId="104"/>
    <cellStyle name="Normal 7 2 2" xfId="190"/>
    <cellStyle name="Normal 7 3" xfId="165"/>
    <cellStyle name="Normal 7 3 2" xfId="197"/>
    <cellStyle name="Normal 7 4" xfId="189"/>
    <cellStyle name="Normal 7_ORÇAMENTO" xfId="105"/>
    <cellStyle name="Normal 8" xfId="106"/>
    <cellStyle name="Normal 8 2" xfId="107"/>
    <cellStyle name="Normal 9" xfId="108"/>
    <cellStyle name="Normal_Pesquisa no referencial 10 de maio de 2013" xfId="205"/>
    <cellStyle name="Normal_Planilha de Preços Unitários 2000-2001 2" xfId="109"/>
    <cellStyle name="Nota 2" xfId="110"/>
    <cellStyle name="Nota 2 2" xfId="191"/>
    <cellStyle name="planilhas" xfId="111"/>
    <cellStyle name="Porcentagem" xfId="169" builtinId="5"/>
    <cellStyle name="Porcentagem 10" xfId="167"/>
    <cellStyle name="Porcentagem 10 2" xfId="204"/>
    <cellStyle name="Porcentagem 10 3" xfId="199"/>
    <cellStyle name="Porcentagem 11" xfId="201"/>
    <cellStyle name="Porcentagem 2" xfId="112"/>
    <cellStyle name="Porcentagem 2 2" xfId="113"/>
    <cellStyle name="Porcentagem 2 3" xfId="114"/>
    <cellStyle name="Porcentagem 3" xfId="115"/>
    <cellStyle name="Porcentagem 3 2" xfId="116"/>
    <cellStyle name="Porcentagem 3 2 2" xfId="117"/>
    <cellStyle name="Porcentagem 4" xfId="118"/>
    <cellStyle name="Porcentagem 4 2" xfId="119"/>
    <cellStyle name="Porcentagem 4 2 2" xfId="192"/>
    <cellStyle name="Porcentagem 4 3" xfId="120"/>
    <cellStyle name="Porcentagem 5" xfId="121"/>
    <cellStyle name="Porcentagem 5 2" xfId="122"/>
    <cellStyle name="Porcentagem 6" xfId="123"/>
    <cellStyle name="Porcentagem 6 2" xfId="124"/>
    <cellStyle name="Porcentagem 7" xfId="125"/>
    <cellStyle name="Porcentagem 8" xfId="126"/>
    <cellStyle name="Porcentagem 8 2" xfId="127"/>
    <cellStyle name="Porcentagem 9" xfId="128"/>
    <cellStyle name="Porcentagem 9 2" xfId="129"/>
    <cellStyle name="Result" xfId="130"/>
    <cellStyle name="Result2" xfId="131"/>
    <cellStyle name="Saída 2" xfId="132"/>
    <cellStyle name="Saída 2 2" xfId="193"/>
    <cellStyle name="Separador de milhares 2" xfId="133"/>
    <cellStyle name="Separador de milhares 2 2" xfId="134"/>
    <cellStyle name="Separador de milhares 2 3" xfId="135"/>
    <cellStyle name="Separador de milhares 2 4" xfId="136"/>
    <cellStyle name="Separador de milhares 2 4 2" xfId="137"/>
    <cellStyle name="Separador de milhares 3" xfId="138"/>
    <cellStyle name="Separador de milhares 3 2" xfId="139"/>
    <cellStyle name="Separador de milhares 3 2 2" xfId="140"/>
    <cellStyle name="Separador de milhares 4" xfId="141"/>
    <cellStyle name="Separador de milhares 4 2" xfId="142"/>
    <cellStyle name="Separador de milhares 4 2 2" xfId="143"/>
    <cellStyle name="Separador de milhares 4 2_ORÇAMENTO" xfId="144"/>
    <cellStyle name="Separador de milhares 4 3" xfId="145"/>
    <cellStyle name="Separador de milhares 5" xfId="146"/>
    <cellStyle name="Separador de milhares 5 2" xfId="147"/>
    <cellStyle name="Separador de milhares 5 2 2" xfId="194"/>
    <cellStyle name="Separador de milhares 6" xfId="148"/>
    <cellStyle name="Separador de milhares 6 2" xfId="149"/>
    <cellStyle name="Texto de Aviso 2" xfId="150"/>
    <cellStyle name="Texto Explicativo 2" xfId="151"/>
    <cellStyle name="Título 1 2" xfId="152"/>
    <cellStyle name="Título 2 2" xfId="153"/>
    <cellStyle name="Título 3 2" xfId="154"/>
    <cellStyle name="Título 4 2" xfId="155"/>
    <cellStyle name="Título 5" xfId="156"/>
    <cellStyle name="Total 2" xfId="157"/>
    <cellStyle name="Total 2 2" xfId="195"/>
    <cellStyle name="Vírgula" xfId="168" builtinId="3"/>
    <cellStyle name="Vírgula 2" xfId="158"/>
    <cellStyle name="Vírgula 2 2" xfId="159"/>
    <cellStyle name="Vírgula 2 2 2" xfId="196"/>
    <cellStyle name="Vírgula 3" xfId="160"/>
    <cellStyle name="Vírgula 3 2" xfId="161"/>
    <cellStyle name="Vírgula 4" xfId="162"/>
    <cellStyle name="Vírgula 5" xfId="163"/>
    <cellStyle name="Vírgula 5 2" xfId="164"/>
    <cellStyle name="Vírgula 6" xfId="170"/>
    <cellStyle name="Vírgula 6 2" xfId="202"/>
    <cellStyle name="Vírgula 7" xfId="200"/>
    <cellStyle name="Vírgula 8" xfId="206"/>
  </cellStyles>
  <dxfs count="14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5333996</xdr:colOff>
      <xdr:row>1</xdr:row>
      <xdr:rowOff>136072</xdr:rowOff>
    </xdr:from>
    <xdr:to>
      <xdr:col>2</xdr:col>
      <xdr:colOff>7728855</xdr:colOff>
      <xdr:row>8</xdr:row>
      <xdr:rowOff>40822</xdr:rowOff>
    </xdr:to>
    <xdr:pic>
      <xdr:nvPicPr>
        <xdr:cNvPr id="3" name="Imag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60817" y="340179"/>
          <a:ext cx="2394859" cy="1796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1</xdr:row>
      <xdr:rowOff>108856</xdr:rowOff>
    </xdr:from>
    <xdr:to>
      <xdr:col>7</xdr:col>
      <xdr:colOff>81645</xdr:colOff>
      <xdr:row>8</xdr:row>
      <xdr:rowOff>40820</xdr:rowOff>
    </xdr:to>
    <xdr:pic>
      <xdr:nvPicPr>
        <xdr:cNvPr id="3" name="Imag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50" y="312963"/>
          <a:ext cx="2394859" cy="1796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2241178</xdr:colOff>
      <xdr:row>2</xdr:row>
      <xdr:rowOff>257737</xdr:rowOff>
    </xdr:from>
    <xdr:to>
      <xdr:col>2</xdr:col>
      <xdr:colOff>918883</xdr:colOff>
      <xdr:row>6</xdr:row>
      <xdr:rowOff>179296</xdr:rowOff>
    </xdr:to>
    <xdr:pic>
      <xdr:nvPicPr>
        <xdr:cNvPr id="3" name="Imag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83325" y="717178"/>
          <a:ext cx="1669676" cy="11766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4694465</xdr:colOff>
      <xdr:row>0</xdr:row>
      <xdr:rowOff>244929</xdr:rowOff>
    </xdr:from>
    <xdr:to>
      <xdr:col>2</xdr:col>
      <xdr:colOff>6027965</xdr:colOff>
      <xdr:row>6</xdr:row>
      <xdr:rowOff>136071</xdr:rowOff>
    </xdr:to>
    <xdr:pic>
      <xdr:nvPicPr>
        <xdr:cNvPr id="3" name="Image 7"/>
        <xdr:cNvPicPr/>
      </xdr:nvPicPr>
      <xdr:blipFill rotWithShape="1">
        <a:blip xmlns:r="http://schemas.openxmlformats.org/officeDocument/2006/relationships" r:embed="rId1" cstate="print"/>
        <a:srcRect l="15341" r="17614"/>
        <a:stretch/>
      </xdr:blipFill>
      <xdr:spPr>
        <a:xfrm>
          <a:off x="5578929" y="244929"/>
          <a:ext cx="1333500" cy="15239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81643</xdr:colOff>
      <xdr:row>113</xdr:row>
      <xdr:rowOff>176893</xdr:rowOff>
    </xdr:from>
    <xdr:to>
      <xdr:col>28</xdr:col>
      <xdr:colOff>91226</xdr:colOff>
      <xdr:row>122</xdr:row>
      <xdr:rowOff>7714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3714" y="49611643"/>
          <a:ext cx="10419048" cy="360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108857</xdr:colOff>
      <xdr:row>59</xdr:row>
      <xdr:rowOff>312964</xdr:rowOff>
    </xdr:from>
    <xdr:to>
      <xdr:col>27</xdr:col>
      <xdr:colOff>23202</xdr:colOff>
      <xdr:row>68</xdr:row>
      <xdr:rowOff>292035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48607" y="24683357"/>
          <a:ext cx="10323809" cy="4142857"/>
        </a:xfrm>
        <a:prstGeom prst="rect">
          <a:avLst/>
        </a:prstGeom>
      </xdr:spPr>
    </xdr:pic>
    <xdr:clientData/>
  </xdr:twoCellAnchor>
  <xdr:twoCellAnchor editAs="oneCell">
    <xdr:from>
      <xdr:col>10</xdr:col>
      <xdr:colOff>27215</xdr:colOff>
      <xdr:row>76</xdr:row>
      <xdr:rowOff>408213</xdr:rowOff>
    </xdr:from>
    <xdr:to>
      <xdr:col>26</xdr:col>
      <xdr:colOff>372929</xdr:colOff>
      <xdr:row>84</xdr:row>
      <xdr:rowOff>546487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266965" y="32480249"/>
          <a:ext cx="10142857" cy="41523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7796892</xdr:colOff>
      <xdr:row>1</xdr:row>
      <xdr:rowOff>136072</xdr:rowOff>
    </xdr:from>
    <xdr:to>
      <xdr:col>3</xdr:col>
      <xdr:colOff>789216</xdr:colOff>
      <xdr:row>8</xdr:row>
      <xdr:rowOff>40822</xdr:rowOff>
    </xdr:to>
    <xdr:pic>
      <xdr:nvPicPr>
        <xdr:cNvPr id="3" name="Image 7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6928" y="367393"/>
          <a:ext cx="2394859" cy="1796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Z108"/>
  <sheetViews>
    <sheetView showGridLines="0" view="pageBreakPreview" zoomScale="70" zoomScaleNormal="50" zoomScaleSheetLayoutView="70" workbookViewId="0">
      <selection activeCell="G17" sqref="G17"/>
    </sheetView>
  </sheetViews>
  <sheetFormatPr defaultColWidth="9.140625" defaultRowHeight="21.95" customHeight="1"/>
  <cols>
    <col min="1" max="1" width="12.42578125" style="78" customWidth="1"/>
    <col min="2" max="2" width="22.42578125" style="4" customWidth="1"/>
    <col min="3" max="3" width="144" style="79" customWidth="1"/>
    <col min="4" max="4" width="15.85546875" style="22" customWidth="1"/>
    <col min="5" max="6" width="23.85546875" style="22" customWidth="1"/>
    <col min="7" max="7" width="23.140625" style="22" customWidth="1"/>
    <col min="8" max="8" width="18.140625" style="5" customWidth="1"/>
    <col min="9" max="16" width="15.42578125" style="5" hidden="1" customWidth="1"/>
    <col min="17" max="17" width="19.28515625" style="6" bestFit="1" customWidth="1"/>
    <col min="18" max="18" width="26.7109375" style="22" bestFit="1" customWidth="1"/>
    <col min="19" max="19" width="30.28515625" style="339" customWidth="1"/>
    <col min="20" max="20" width="25.42578125" style="22" customWidth="1"/>
    <col min="21" max="21" width="38.7109375" style="22" bestFit="1" customWidth="1"/>
    <col min="22" max="22" width="34.7109375" style="22" bestFit="1" customWidth="1"/>
    <col min="23" max="24" width="38.7109375" style="22" bestFit="1" customWidth="1"/>
    <col min="25" max="41" width="9.140625" style="22" customWidth="1"/>
    <col min="42" max="16384" width="9.140625" style="22"/>
  </cols>
  <sheetData>
    <row r="1" spans="1:22" s="4" customFormat="1" ht="15.75">
      <c r="H1" s="5"/>
      <c r="I1" s="5"/>
      <c r="J1" s="5"/>
      <c r="K1" s="5"/>
      <c r="L1" s="5"/>
      <c r="M1" s="5"/>
      <c r="N1" s="5"/>
      <c r="O1" s="5"/>
      <c r="P1" s="5"/>
      <c r="Q1" s="6"/>
      <c r="S1" s="335"/>
    </row>
    <row r="2" spans="1:22" s="11" customFormat="1" ht="26.25" customHeight="1">
      <c r="A2" s="7" t="s">
        <v>497</v>
      </c>
      <c r="B2" s="4"/>
      <c r="C2" s="4"/>
      <c r="D2" s="4"/>
      <c r="E2" s="4"/>
      <c r="F2" s="4"/>
      <c r="G2" s="8" t="s">
        <v>499</v>
      </c>
      <c r="H2" s="9"/>
      <c r="I2" s="9"/>
      <c r="J2" s="9"/>
      <c r="K2" s="9"/>
      <c r="L2" s="9"/>
      <c r="M2" s="9"/>
      <c r="N2" s="9"/>
      <c r="O2" s="9"/>
      <c r="P2" s="9"/>
      <c r="Q2" s="10"/>
      <c r="S2" s="336"/>
    </row>
    <row r="3" spans="1:22" s="11" customFormat="1" ht="20.25" customHeight="1">
      <c r="A3" s="12" t="s">
        <v>48</v>
      </c>
      <c r="B3" s="12" t="s">
        <v>509</v>
      </c>
      <c r="C3" s="13"/>
      <c r="D3" s="13"/>
      <c r="E3" s="13"/>
      <c r="F3" s="4"/>
      <c r="G3" s="4"/>
      <c r="H3" s="9"/>
      <c r="I3" s="9"/>
      <c r="J3" s="9"/>
      <c r="K3" s="9"/>
      <c r="L3" s="9"/>
      <c r="M3" s="9"/>
      <c r="N3" s="9"/>
      <c r="O3" s="9"/>
      <c r="P3" s="9"/>
      <c r="Q3" s="10"/>
      <c r="S3" s="336"/>
    </row>
    <row r="4" spans="1:22" s="11" customFormat="1" ht="20.25" customHeight="1">
      <c r="A4" s="12" t="s">
        <v>49</v>
      </c>
      <c r="B4" s="12" t="s">
        <v>498</v>
      </c>
      <c r="C4" s="13"/>
      <c r="D4" s="13"/>
      <c r="E4" s="13"/>
      <c r="G4" s="8" t="s">
        <v>496</v>
      </c>
      <c r="H4" s="9"/>
      <c r="I4" s="9"/>
      <c r="J4" s="9"/>
      <c r="K4" s="9"/>
      <c r="L4" s="9"/>
      <c r="M4" s="9"/>
      <c r="N4" s="9"/>
      <c r="O4" s="9"/>
      <c r="P4" s="9"/>
      <c r="Q4" s="10"/>
      <c r="S4" s="336"/>
    </row>
    <row r="5" spans="1:22" s="11" customFormat="1" ht="20.25" customHeight="1">
      <c r="A5" s="12" t="s">
        <v>50</v>
      </c>
      <c r="B5" s="12" t="s">
        <v>514</v>
      </c>
      <c r="C5" s="13"/>
      <c r="D5" s="13"/>
      <c r="E5" s="4"/>
      <c r="G5" s="8" t="s">
        <v>351</v>
      </c>
      <c r="H5" s="9"/>
      <c r="I5" s="9"/>
      <c r="J5" s="9"/>
      <c r="K5" s="9"/>
      <c r="L5" s="9"/>
      <c r="M5" s="9"/>
      <c r="N5" s="9"/>
      <c r="O5" s="9"/>
      <c r="P5" s="9"/>
      <c r="Q5" s="10"/>
      <c r="S5" s="336"/>
    </row>
    <row r="6" spans="1:22" s="11" customFormat="1" ht="20.25" customHeight="1">
      <c r="A6" s="12" t="s">
        <v>51</v>
      </c>
      <c r="B6" s="12" t="s">
        <v>515</v>
      </c>
      <c r="C6" s="13"/>
      <c r="D6" s="13"/>
      <c r="E6" s="4"/>
      <c r="G6" s="8" t="s">
        <v>500</v>
      </c>
      <c r="H6" s="9"/>
      <c r="I6" s="9"/>
      <c r="J6" s="9"/>
      <c r="K6" s="9"/>
      <c r="L6" s="9"/>
      <c r="M6" s="9"/>
      <c r="N6" s="9"/>
      <c r="O6" s="9"/>
      <c r="P6" s="9"/>
      <c r="Q6" s="10"/>
      <c r="S6" s="336"/>
    </row>
    <row r="7" spans="1:22" s="11" customFormat="1" ht="20.25" customHeight="1">
      <c r="C7" s="4"/>
      <c r="D7" s="13"/>
      <c r="E7" s="4"/>
      <c r="G7" s="8" t="s">
        <v>501</v>
      </c>
      <c r="H7" s="9"/>
      <c r="I7" s="9"/>
      <c r="J7" s="9"/>
      <c r="K7" s="9"/>
      <c r="L7" s="9"/>
      <c r="M7" s="9"/>
      <c r="N7" s="9"/>
      <c r="O7" s="9"/>
      <c r="P7" s="9"/>
      <c r="Q7" s="10"/>
      <c r="S7" s="336"/>
    </row>
    <row r="8" spans="1:22" s="11" customFormat="1" ht="20.25" customHeight="1">
      <c r="C8" s="4"/>
      <c r="D8" s="13"/>
      <c r="E8" s="4"/>
      <c r="G8" s="325" t="s">
        <v>502</v>
      </c>
      <c r="H8" s="9"/>
      <c r="I8" s="9"/>
      <c r="J8" s="9"/>
      <c r="K8" s="9"/>
      <c r="L8" s="9"/>
      <c r="M8" s="9"/>
      <c r="N8" s="9"/>
      <c r="O8" s="9"/>
      <c r="P8" s="9"/>
      <c r="Q8" s="10"/>
      <c r="S8" s="336"/>
    </row>
    <row r="9" spans="1:22" s="11" customFormat="1" ht="20.25" customHeight="1">
      <c r="A9" s="12"/>
      <c r="B9" s="14"/>
      <c r="C9" s="4"/>
      <c r="D9" s="13"/>
      <c r="E9" s="13"/>
      <c r="F9" s="13"/>
      <c r="H9" s="9"/>
      <c r="I9" s="9"/>
      <c r="J9" s="9"/>
      <c r="K9" s="9"/>
      <c r="L9" s="9"/>
      <c r="M9" s="9"/>
      <c r="N9" s="9"/>
      <c r="O9" s="9"/>
      <c r="P9" s="9"/>
      <c r="Q9" s="10"/>
      <c r="R9" s="15"/>
      <c r="S9" s="337"/>
      <c r="T9" s="15"/>
      <c r="U9" s="15"/>
      <c r="V9" s="15"/>
    </row>
    <row r="10" spans="1:22" s="11" customFormat="1" ht="9" customHeight="1">
      <c r="A10" s="16"/>
      <c r="B10" s="17"/>
      <c r="D10" s="18"/>
      <c r="E10" s="18"/>
      <c r="F10" s="18"/>
      <c r="G10" s="18"/>
      <c r="H10" s="9"/>
      <c r="I10" s="9"/>
      <c r="J10" s="9"/>
      <c r="K10" s="9"/>
      <c r="L10" s="9"/>
      <c r="M10" s="9"/>
      <c r="N10" s="9"/>
      <c r="O10" s="9"/>
      <c r="P10" s="9"/>
      <c r="S10" s="336"/>
    </row>
    <row r="11" spans="1:22" s="11" customFormat="1" ht="20.25">
      <c r="A11" s="353" t="s">
        <v>490</v>
      </c>
      <c r="B11" s="353"/>
      <c r="C11" s="353"/>
      <c r="D11" s="353"/>
      <c r="E11" s="353"/>
      <c r="F11" s="353"/>
      <c r="G11" s="353"/>
      <c r="H11" s="9"/>
      <c r="I11" s="9"/>
      <c r="J11" s="9"/>
      <c r="K11" s="9"/>
      <c r="L11" s="9"/>
      <c r="M11" s="9"/>
      <c r="N11" s="9"/>
      <c r="O11" s="9"/>
      <c r="P11" s="9"/>
      <c r="R11" s="19"/>
      <c r="S11" s="338"/>
      <c r="T11" s="19"/>
      <c r="U11" s="19"/>
      <c r="V11" s="19"/>
    </row>
    <row r="12" spans="1:22" s="4" customFormat="1" ht="10.5" customHeight="1">
      <c r="A12" s="20"/>
      <c r="B12" s="20"/>
      <c r="C12" s="20"/>
      <c r="D12" s="20"/>
      <c r="E12" s="20"/>
      <c r="F12" s="20"/>
      <c r="G12" s="20"/>
      <c r="H12" s="5"/>
      <c r="I12" s="5"/>
      <c r="J12" s="5"/>
      <c r="K12" s="5"/>
      <c r="L12" s="5"/>
      <c r="M12" s="5"/>
      <c r="N12" s="5"/>
      <c r="O12" s="5"/>
      <c r="P12" s="5"/>
      <c r="R12" s="21"/>
      <c r="S12" s="335"/>
    </row>
    <row r="13" spans="1:22" ht="24.75" customHeight="1">
      <c r="A13" s="356" t="s">
        <v>1</v>
      </c>
      <c r="B13" s="357" t="s">
        <v>319</v>
      </c>
      <c r="C13" s="359" t="s">
        <v>0</v>
      </c>
      <c r="D13" s="360" t="s">
        <v>10</v>
      </c>
      <c r="E13" s="362" t="s">
        <v>2</v>
      </c>
      <c r="F13" s="359" t="s">
        <v>489</v>
      </c>
      <c r="G13" s="364" t="s">
        <v>29</v>
      </c>
      <c r="Q13" s="15" t="s">
        <v>39</v>
      </c>
      <c r="R13" s="354" t="s">
        <v>34</v>
      </c>
    </row>
    <row r="14" spans="1:22" ht="24.75" customHeight="1">
      <c r="A14" s="357"/>
      <c r="B14" s="358"/>
      <c r="C14" s="355"/>
      <c r="D14" s="361"/>
      <c r="E14" s="363"/>
      <c r="F14" s="355"/>
      <c r="G14" s="364"/>
      <c r="Q14" s="19">
        <f>BDI!F26</f>
        <v>0.24233147271390498</v>
      </c>
      <c r="R14" s="355"/>
    </row>
    <row r="15" spans="1:22" ht="6" customHeight="1">
      <c r="A15" s="23"/>
      <c r="B15" s="24"/>
      <c r="C15" s="25"/>
      <c r="D15" s="26"/>
      <c r="E15" s="27"/>
      <c r="F15" s="28"/>
      <c r="G15" s="29"/>
    </row>
    <row r="16" spans="1:22" s="40" customFormat="1" ht="23.25" customHeight="1">
      <c r="A16" s="30">
        <v>1</v>
      </c>
      <c r="B16" s="31"/>
      <c r="C16" s="32" t="s">
        <v>11</v>
      </c>
      <c r="D16" s="33"/>
      <c r="E16" s="34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8"/>
      <c r="R16" s="39">
        <v>45139</v>
      </c>
      <c r="S16" s="340"/>
    </row>
    <row r="17" spans="1:20" ht="25.5" customHeight="1">
      <c r="A17" s="41" t="s">
        <v>3</v>
      </c>
      <c r="B17" s="41" t="s">
        <v>178</v>
      </c>
      <c r="C17" s="42" t="s">
        <v>399</v>
      </c>
      <c r="D17" s="43" t="s">
        <v>40</v>
      </c>
      <c r="E17" s="309">
        <v>1</v>
      </c>
      <c r="F17" s="45">
        <f>TRUNC($R17*(1+$Q17),2)</f>
        <v>3483.16</v>
      </c>
      <c r="G17" s="45">
        <f>ROUND($E17*F17,2)</f>
        <v>3483.16</v>
      </c>
      <c r="Q17" s="6">
        <f>$Q$14</f>
        <v>0.24233147271390498</v>
      </c>
      <c r="R17" s="46">
        <f>Composições!G10</f>
        <v>2803.7300000000005</v>
      </c>
      <c r="S17" s="339" t="s">
        <v>178</v>
      </c>
    </row>
    <row r="18" spans="1:20" ht="23.25" customHeight="1">
      <c r="A18" s="41" t="s">
        <v>52</v>
      </c>
      <c r="B18" s="41" t="s">
        <v>186</v>
      </c>
      <c r="C18" s="42" t="s">
        <v>53</v>
      </c>
      <c r="D18" s="43" t="s">
        <v>32</v>
      </c>
      <c r="E18" s="309">
        <v>4900</v>
      </c>
      <c r="F18" s="45">
        <f>TRUNC($R18*(1+$Q18),2)</f>
        <v>0.88</v>
      </c>
      <c r="G18" s="45">
        <f>ROUND($E18*F18,2)</f>
        <v>4312</v>
      </c>
      <c r="Q18" s="6">
        <f>$Q$14</f>
        <v>0.24233147271390498</v>
      </c>
      <c r="R18" s="47">
        <f>Composições!G23</f>
        <v>0.71</v>
      </c>
      <c r="S18" s="339" t="s">
        <v>186</v>
      </c>
    </row>
    <row r="19" spans="1:20" ht="23.25" customHeight="1">
      <c r="A19" s="41" t="s">
        <v>189</v>
      </c>
      <c r="B19" s="41" t="s">
        <v>187</v>
      </c>
      <c r="C19" s="42" t="s">
        <v>184</v>
      </c>
      <c r="D19" s="43" t="s">
        <v>40</v>
      </c>
      <c r="E19" s="309">
        <v>2</v>
      </c>
      <c r="F19" s="45">
        <f>TRUNC($R19*(1+$Q19),2)</f>
        <v>2238.25</v>
      </c>
      <c r="G19" s="45">
        <f>ROUND($E19*F19,2)</f>
        <v>4476.5</v>
      </c>
      <c r="Q19" s="6">
        <f>$Q$14</f>
        <v>0.24233147271390498</v>
      </c>
      <c r="R19" s="45">
        <f>Composições!G44</f>
        <v>1801.6599999999996</v>
      </c>
      <c r="S19" s="339" t="s">
        <v>187</v>
      </c>
    </row>
    <row r="20" spans="1:20" ht="23.25" customHeight="1">
      <c r="A20" s="41" t="s">
        <v>190</v>
      </c>
      <c r="B20" s="41" t="s">
        <v>347</v>
      </c>
      <c r="C20" s="42" t="s">
        <v>185</v>
      </c>
      <c r="D20" s="43" t="s">
        <v>188</v>
      </c>
      <c r="E20" s="309">
        <v>6</v>
      </c>
      <c r="F20" s="45">
        <f>TRUNC($R20*(1+$Q20),2)</f>
        <v>15491.07</v>
      </c>
      <c r="G20" s="45">
        <f>ROUND($E20*F20,2)</f>
        <v>92946.42</v>
      </c>
      <c r="H20" s="314"/>
      <c r="Q20" s="6">
        <f>$Q$14</f>
        <v>0.24233147271390498</v>
      </c>
      <c r="R20" s="45">
        <f>Composições!G56</f>
        <v>12469.359999999999</v>
      </c>
      <c r="S20" s="339" t="s">
        <v>347</v>
      </c>
      <c r="T20" s="70"/>
    </row>
    <row r="21" spans="1:20" s="56" customFormat="1" ht="23.25" customHeight="1">
      <c r="A21" s="48" t="str">
        <f>CONCATENATE("TOTAL DO ITEM ",A16," - ",C16)</f>
        <v>TOTAL DO ITEM 1 - SERVIÇOS INICIAIS</v>
      </c>
      <c r="B21" s="49"/>
      <c r="C21" s="50"/>
      <c r="D21" s="51"/>
      <c r="E21" s="51"/>
      <c r="F21" s="52"/>
      <c r="G21" s="53">
        <f>SUM(G17:G20)</f>
        <v>105218.08</v>
      </c>
      <c r="H21" s="54"/>
      <c r="I21" s="54"/>
      <c r="J21" s="54"/>
      <c r="K21" s="54"/>
      <c r="L21" s="54"/>
      <c r="M21" s="54"/>
      <c r="N21" s="54"/>
      <c r="O21" s="54"/>
      <c r="P21" s="54"/>
      <c r="Q21" s="55"/>
      <c r="S21" s="341"/>
    </row>
    <row r="22" spans="1:20" s="40" customFormat="1" ht="23.25" customHeight="1">
      <c r="A22" s="57">
        <v>2</v>
      </c>
      <c r="B22" s="58"/>
      <c r="C22" s="59" t="s">
        <v>22</v>
      </c>
      <c r="D22" s="60"/>
      <c r="E22" s="35"/>
      <c r="F22" s="61"/>
      <c r="G22" s="62"/>
      <c r="H22" s="5" t="s">
        <v>41</v>
      </c>
      <c r="I22" s="5"/>
      <c r="J22" s="5"/>
      <c r="K22" s="5"/>
      <c r="L22" s="5"/>
      <c r="M22" s="5"/>
      <c r="N22" s="5"/>
      <c r="O22" s="5"/>
      <c r="P22" s="5"/>
      <c r="Q22" s="63"/>
      <c r="S22" s="340"/>
    </row>
    <row r="23" spans="1:20" ht="23.25" customHeight="1">
      <c r="A23" s="41" t="s">
        <v>4</v>
      </c>
      <c r="B23" s="64">
        <v>98525</v>
      </c>
      <c r="C23" s="42" t="s">
        <v>269</v>
      </c>
      <c r="D23" s="43" t="s">
        <v>32</v>
      </c>
      <c r="E23" s="44">
        <f>ROUND(700*4,2)</f>
        <v>2800</v>
      </c>
      <c r="F23" s="45">
        <f t="shared" ref="F23:F37" si="0">TRUNC($R23*(1+$Q23),2)</f>
        <v>0.53</v>
      </c>
      <c r="G23" s="45">
        <f t="shared" ref="G23:G35" si="1">ROUND($E23*F23,2)</f>
        <v>1484</v>
      </c>
      <c r="Q23" s="6">
        <f t="shared" ref="Q23:Q37" si="2">$Q$14</f>
        <v>0.24233147271390498</v>
      </c>
      <c r="R23" s="46">
        <v>0.43</v>
      </c>
      <c r="S23" s="339">
        <v>98525</v>
      </c>
    </row>
    <row r="24" spans="1:20" ht="23.25" customHeight="1">
      <c r="A24" s="41" t="s">
        <v>5</v>
      </c>
      <c r="B24" s="64">
        <v>98529</v>
      </c>
      <c r="C24" s="42" t="s">
        <v>270</v>
      </c>
      <c r="D24" s="43" t="s">
        <v>40</v>
      </c>
      <c r="E24" s="44">
        <v>30</v>
      </c>
      <c r="F24" s="45">
        <f t="shared" si="0"/>
        <v>84.36</v>
      </c>
      <c r="G24" s="45">
        <f t="shared" si="1"/>
        <v>2530.8000000000002</v>
      </c>
      <c r="Q24" s="6">
        <f t="shared" si="2"/>
        <v>0.24233147271390498</v>
      </c>
      <c r="R24" s="46">
        <v>67.91</v>
      </c>
      <c r="S24" s="339">
        <v>98529</v>
      </c>
    </row>
    <row r="25" spans="1:20" ht="23.25" customHeight="1">
      <c r="A25" s="41" t="s">
        <v>6</v>
      </c>
      <c r="B25" s="64">
        <v>101270</v>
      </c>
      <c r="C25" s="42" t="s">
        <v>337</v>
      </c>
      <c r="D25" s="43" t="s">
        <v>33</v>
      </c>
      <c r="E25" s="44">
        <v>3722.38</v>
      </c>
      <c r="F25" s="45">
        <f t="shared" si="0"/>
        <v>28.12</v>
      </c>
      <c r="G25" s="45">
        <f t="shared" si="1"/>
        <v>104673.33</v>
      </c>
      <c r="H25" s="22"/>
      <c r="I25" s="22"/>
      <c r="J25" s="22"/>
      <c r="K25" s="22"/>
      <c r="L25" s="22"/>
      <c r="M25" s="22"/>
      <c r="N25" s="22"/>
      <c r="O25" s="22"/>
      <c r="P25" s="22"/>
      <c r="Q25" s="6">
        <f t="shared" si="2"/>
        <v>0.24233147271390498</v>
      </c>
      <c r="R25" s="46">
        <v>22.64</v>
      </c>
      <c r="S25" s="339">
        <v>101270</v>
      </c>
    </row>
    <row r="26" spans="1:20" ht="23.25" customHeight="1">
      <c r="A26" s="41" t="s">
        <v>7</v>
      </c>
      <c r="B26" s="64">
        <v>101270</v>
      </c>
      <c r="C26" s="42" t="s">
        <v>340</v>
      </c>
      <c r="D26" s="43" t="s">
        <v>33</v>
      </c>
      <c r="E26" s="44">
        <f>700*4*0.4</f>
        <v>1120</v>
      </c>
      <c r="F26" s="45">
        <f t="shared" si="0"/>
        <v>28.12</v>
      </c>
      <c r="G26" s="45">
        <f>ROUND($E26*F26,2)</f>
        <v>31494.400000000001</v>
      </c>
      <c r="H26" s="65"/>
      <c r="I26" s="65"/>
      <c r="J26" s="65"/>
      <c r="K26" s="65"/>
      <c r="L26" s="65"/>
      <c r="M26" s="65"/>
      <c r="N26" s="65"/>
      <c r="O26" s="65"/>
      <c r="P26" s="65"/>
      <c r="Q26" s="6">
        <f t="shared" si="2"/>
        <v>0.24233147271390498</v>
      </c>
      <c r="R26" s="46">
        <v>22.64</v>
      </c>
      <c r="S26" s="339">
        <v>101270</v>
      </c>
    </row>
    <row r="27" spans="1:20" ht="23.25" customHeight="1">
      <c r="A27" s="41" t="s">
        <v>8</v>
      </c>
      <c r="B27" s="64">
        <v>93589</v>
      </c>
      <c r="C27" s="42" t="s">
        <v>506</v>
      </c>
      <c r="D27" s="43" t="s">
        <v>179</v>
      </c>
      <c r="E27" s="44">
        <f>ROUND((E25+E26)*1.25*H27,2)</f>
        <v>12105.95</v>
      </c>
      <c r="F27" s="45">
        <f t="shared" si="0"/>
        <v>3.23</v>
      </c>
      <c r="G27" s="45">
        <f t="shared" ref="G27" si="3">ROUND($E27*F27,2)</f>
        <v>39102.22</v>
      </c>
      <c r="H27" s="334">
        <f>'DMT''S'!B14</f>
        <v>2</v>
      </c>
      <c r="Q27" s="6">
        <f t="shared" si="2"/>
        <v>0.24233147271390498</v>
      </c>
      <c r="R27" s="46">
        <v>2.6</v>
      </c>
      <c r="S27" s="339">
        <v>93589</v>
      </c>
    </row>
    <row r="28" spans="1:20" ht="23.25" customHeight="1">
      <c r="A28" s="41" t="s">
        <v>9</v>
      </c>
      <c r="B28" s="307">
        <v>102355</v>
      </c>
      <c r="C28" s="42" t="s">
        <v>272</v>
      </c>
      <c r="D28" s="43" t="s">
        <v>33</v>
      </c>
      <c r="E28" s="44">
        <v>0</v>
      </c>
      <c r="F28" s="308">
        <f t="shared" si="0"/>
        <v>241.34</v>
      </c>
      <c r="G28" s="308">
        <f>ROUND($E28*F28,2)</f>
        <v>0</v>
      </c>
      <c r="Q28" s="6">
        <f t="shared" si="2"/>
        <v>0.24233147271390498</v>
      </c>
      <c r="R28" s="46">
        <v>194.27</v>
      </c>
      <c r="S28" s="339">
        <v>102355</v>
      </c>
    </row>
    <row r="29" spans="1:20" ht="31.5">
      <c r="A29" s="41" t="s">
        <v>386</v>
      </c>
      <c r="B29" s="307">
        <v>102360</v>
      </c>
      <c r="C29" s="42" t="s">
        <v>273</v>
      </c>
      <c r="D29" s="43" t="s">
        <v>33</v>
      </c>
      <c r="E29" s="309">
        <f>ROUND(E28*1.4,2)</f>
        <v>0</v>
      </c>
      <c r="F29" s="308">
        <f t="shared" si="0"/>
        <v>32.44</v>
      </c>
      <c r="G29" s="308">
        <f>ROUND($E29*F29,2)</f>
        <v>0</v>
      </c>
      <c r="Q29" s="6">
        <f t="shared" si="2"/>
        <v>0.24233147271390498</v>
      </c>
      <c r="R29" s="46">
        <v>26.12</v>
      </c>
      <c r="S29" s="339">
        <v>102360</v>
      </c>
    </row>
    <row r="30" spans="1:20" ht="23.25" customHeight="1">
      <c r="A30" s="41" t="s">
        <v>387</v>
      </c>
      <c r="B30" s="307">
        <v>100978</v>
      </c>
      <c r="C30" s="42" t="s">
        <v>274</v>
      </c>
      <c r="D30" s="43" t="s">
        <v>33</v>
      </c>
      <c r="E30" s="309">
        <f>ROUND(((E28)*1.4),2)</f>
        <v>0</v>
      </c>
      <c r="F30" s="308">
        <f t="shared" si="0"/>
        <v>8.5500000000000007</v>
      </c>
      <c r="G30" s="308">
        <f>ROUND($E30*F30,2)</f>
        <v>0</v>
      </c>
      <c r="Q30" s="6">
        <f t="shared" si="2"/>
        <v>0.24233147271390498</v>
      </c>
      <c r="R30" s="46">
        <v>6.89</v>
      </c>
      <c r="S30" s="339">
        <v>100978</v>
      </c>
    </row>
    <row r="31" spans="1:20" ht="23.25" customHeight="1">
      <c r="A31" s="41" t="s">
        <v>388</v>
      </c>
      <c r="B31" s="307">
        <v>93589</v>
      </c>
      <c r="C31" s="42" t="s">
        <v>506</v>
      </c>
      <c r="D31" s="43" t="s">
        <v>179</v>
      </c>
      <c r="E31" s="309">
        <f>ROUND(E30*H31,2)</f>
        <v>0</v>
      </c>
      <c r="F31" s="308">
        <f t="shared" si="0"/>
        <v>3.23</v>
      </c>
      <c r="G31" s="308">
        <f t="shared" ref="G31" si="4">ROUND($E31*F31,2)</f>
        <v>0</v>
      </c>
      <c r="H31" s="334">
        <f>H27</f>
        <v>2</v>
      </c>
      <c r="Q31" s="6">
        <f t="shared" si="2"/>
        <v>0.24233147271390498</v>
      </c>
      <c r="R31" s="46">
        <v>2.6</v>
      </c>
      <c r="S31" s="339">
        <v>93589</v>
      </c>
    </row>
    <row r="32" spans="1:20" ht="23.25" customHeight="1">
      <c r="A32" s="41" t="s">
        <v>389</v>
      </c>
      <c r="B32" s="64">
        <v>100574</v>
      </c>
      <c r="C32" s="42" t="s">
        <v>324</v>
      </c>
      <c r="D32" s="43" t="s">
        <v>33</v>
      </c>
      <c r="E32" s="44">
        <f>ROUND((E25+E26)*1.25,2)</f>
        <v>6052.98</v>
      </c>
      <c r="F32" s="45">
        <f t="shared" si="0"/>
        <v>1.92</v>
      </c>
      <c r="G32" s="45">
        <f>ROUND($E32*F32,2)</f>
        <v>11621.72</v>
      </c>
      <c r="Q32" s="6">
        <f t="shared" si="2"/>
        <v>0.24233147271390498</v>
      </c>
      <c r="R32" s="46">
        <v>1.55</v>
      </c>
      <c r="S32" s="339">
        <v>100574</v>
      </c>
    </row>
    <row r="33" spans="1:20" ht="23.25" customHeight="1">
      <c r="A33" s="41" t="s">
        <v>390</v>
      </c>
      <c r="B33" s="64" t="s">
        <v>552</v>
      </c>
      <c r="C33" s="42" t="s">
        <v>562</v>
      </c>
      <c r="D33" s="43" t="s">
        <v>33</v>
      </c>
      <c r="E33" s="44">
        <v>1482.2</v>
      </c>
      <c r="F33" s="45">
        <f>TRUNC($R33*(1+$Q33),2)</f>
        <v>77.81</v>
      </c>
      <c r="G33" s="45">
        <f>ROUND($E33*F33,2)</f>
        <v>115329.98</v>
      </c>
      <c r="Q33" s="6">
        <f t="shared" si="2"/>
        <v>0.24233147271390498</v>
      </c>
      <c r="R33" s="46">
        <f>Composições!G249</f>
        <v>62.64</v>
      </c>
      <c r="S33" s="339">
        <v>96385</v>
      </c>
    </row>
    <row r="34" spans="1:20" ht="23.25" customHeight="1">
      <c r="A34" s="41" t="s">
        <v>417</v>
      </c>
      <c r="B34" s="64">
        <v>100978</v>
      </c>
      <c r="C34" s="42" t="s">
        <v>339</v>
      </c>
      <c r="D34" s="43" t="s">
        <v>33</v>
      </c>
      <c r="E34" s="44">
        <f>E33*1.4</f>
        <v>2075.08</v>
      </c>
      <c r="F34" s="45">
        <f t="shared" si="0"/>
        <v>8.5500000000000007</v>
      </c>
      <c r="G34" s="45">
        <f>ROUND($E34*F34,2)</f>
        <v>17741.93</v>
      </c>
      <c r="Q34" s="6">
        <f t="shared" si="2"/>
        <v>0.24233147271390498</v>
      </c>
      <c r="R34" s="46">
        <v>6.89</v>
      </c>
      <c r="S34" s="339">
        <v>100978</v>
      </c>
    </row>
    <row r="35" spans="1:20" ht="23.25" customHeight="1">
      <c r="A35" s="41" t="s">
        <v>482</v>
      </c>
      <c r="B35" s="64">
        <v>93589</v>
      </c>
      <c r="C35" s="42" t="s">
        <v>511</v>
      </c>
      <c r="D35" s="43" t="s">
        <v>179</v>
      </c>
      <c r="E35" s="44">
        <f>ROUND(E34*H35,2)</f>
        <v>41916.620000000003</v>
      </c>
      <c r="F35" s="45">
        <f t="shared" si="0"/>
        <v>3.23</v>
      </c>
      <c r="G35" s="45">
        <f t="shared" si="1"/>
        <v>135390.68</v>
      </c>
      <c r="H35" s="334">
        <f>'DMT''S'!B6</f>
        <v>20.2</v>
      </c>
      <c r="Q35" s="6">
        <f t="shared" si="2"/>
        <v>0.24233147271390498</v>
      </c>
      <c r="R35" s="46">
        <v>2.6</v>
      </c>
      <c r="S35" s="339">
        <v>93589</v>
      </c>
    </row>
    <row r="36" spans="1:20" ht="23.25" customHeight="1">
      <c r="A36" s="41" t="s">
        <v>483</v>
      </c>
      <c r="B36" s="64">
        <v>100576</v>
      </c>
      <c r="C36" s="42" t="s">
        <v>323</v>
      </c>
      <c r="D36" s="43" t="s">
        <v>32</v>
      </c>
      <c r="E36" s="44">
        <f>ROUND((700*10),2)</f>
        <v>7000</v>
      </c>
      <c r="F36" s="45">
        <f t="shared" si="0"/>
        <v>3.13</v>
      </c>
      <c r="G36" s="45">
        <f>ROUND($E36*F36,2)</f>
        <v>21910</v>
      </c>
      <c r="Q36" s="6">
        <f t="shared" si="2"/>
        <v>0.24233147271390498</v>
      </c>
      <c r="R36" s="46">
        <v>2.52</v>
      </c>
      <c r="S36" s="339">
        <v>100576</v>
      </c>
    </row>
    <row r="37" spans="1:20" ht="31.5">
      <c r="A37" s="41" t="s">
        <v>484</v>
      </c>
      <c r="B37" s="64" t="s">
        <v>418</v>
      </c>
      <c r="C37" s="42" t="s">
        <v>412</v>
      </c>
      <c r="D37" s="43" t="s">
        <v>37</v>
      </c>
      <c r="E37" s="44">
        <v>0</v>
      </c>
      <c r="F37" s="45">
        <f t="shared" si="0"/>
        <v>46.46</v>
      </c>
      <c r="G37" s="45">
        <f>ROUND($E37*F37,2)</f>
        <v>0</v>
      </c>
      <c r="Q37" s="6">
        <f t="shared" si="2"/>
        <v>0.24233147271390498</v>
      </c>
      <c r="R37" s="46">
        <f>Composições!G192</f>
        <v>37.400000000000006</v>
      </c>
      <c r="S37" s="339" t="s">
        <v>418</v>
      </c>
    </row>
    <row r="38" spans="1:20" s="56" customFormat="1" ht="23.25" customHeight="1">
      <c r="A38" s="48" t="str">
        <f>CONCATENATE("TOTAL DO ITEM ",A22," - ",C22)</f>
        <v>TOTAL DO ITEM 2 - TERRAPLENAGEM</v>
      </c>
      <c r="B38" s="49"/>
      <c r="C38" s="66"/>
      <c r="D38" s="67"/>
      <c r="E38" s="67"/>
      <c r="F38" s="68"/>
      <c r="G38" s="313">
        <f>SUM(G23:G37)</f>
        <v>481279.06</v>
      </c>
      <c r="H38" s="54"/>
      <c r="I38" s="54"/>
      <c r="J38" s="54"/>
      <c r="K38" s="54"/>
      <c r="L38" s="54"/>
      <c r="M38" s="54"/>
      <c r="N38" s="54"/>
      <c r="O38" s="54"/>
      <c r="P38" s="54"/>
      <c r="Q38" s="55"/>
      <c r="R38" s="69"/>
      <c r="S38" s="342"/>
    </row>
    <row r="39" spans="1:20" s="40" customFormat="1" ht="23.25" customHeight="1">
      <c r="A39" s="57">
        <v>3</v>
      </c>
      <c r="B39" s="58"/>
      <c r="C39" s="59" t="s">
        <v>36</v>
      </c>
      <c r="D39" s="60"/>
      <c r="E39" s="35"/>
      <c r="F39" s="61"/>
      <c r="G39" s="62"/>
      <c r="H39" s="5" t="s">
        <v>41</v>
      </c>
      <c r="I39" s="5"/>
      <c r="J39" s="5"/>
      <c r="K39" s="5"/>
      <c r="L39" s="5"/>
      <c r="M39" s="5"/>
      <c r="N39" s="5"/>
      <c r="O39" s="5"/>
      <c r="P39" s="5"/>
      <c r="Q39" s="63"/>
      <c r="S39" s="340"/>
    </row>
    <row r="40" spans="1:20" ht="23.25" customHeight="1">
      <c r="A40" s="306" t="s">
        <v>12</v>
      </c>
      <c r="B40" s="307">
        <v>90100</v>
      </c>
      <c r="C40" s="42" t="s">
        <v>338</v>
      </c>
      <c r="D40" s="43" t="s">
        <v>33</v>
      </c>
      <c r="E40" s="351">
        <f>ROUND((E48*L48+E49*L49+E50*L50+E51*L51+E52*L52+E53*L53+E54*L54+E55*L55)*0.8,2)</f>
        <v>303.3</v>
      </c>
      <c r="F40" s="308">
        <f t="shared" ref="F40:F68" si="5">TRUNC($R40*(1+$Q40),2)</f>
        <v>17.21</v>
      </c>
      <c r="G40" s="308">
        <f t="shared" ref="G40" si="6">ROUND($E40*F40,2)</f>
        <v>5219.79</v>
      </c>
      <c r="Q40" s="6">
        <f t="shared" ref="Q40:Q68" si="7">$Q$14</f>
        <v>0.24233147271390498</v>
      </c>
      <c r="R40" s="46">
        <v>13.86</v>
      </c>
      <c r="S40" s="339">
        <v>90100</v>
      </c>
      <c r="T40" s="22">
        <v>379.12</v>
      </c>
    </row>
    <row r="41" spans="1:20" ht="23.25" customHeight="1">
      <c r="A41" s="306" t="s">
        <v>13</v>
      </c>
      <c r="B41" s="307">
        <v>102355</v>
      </c>
      <c r="C41" s="42" t="s">
        <v>272</v>
      </c>
      <c r="D41" s="43" t="s">
        <v>33</v>
      </c>
      <c r="E41" s="309">
        <f>ROUND(379.12*0.2,2)</f>
        <v>75.819999999999993</v>
      </c>
      <c r="F41" s="308">
        <f t="shared" si="5"/>
        <v>241.34</v>
      </c>
      <c r="G41" s="308">
        <f>ROUND($E41*F41,2)</f>
        <v>18298.400000000001</v>
      </c>
      <c r="Q41" s="6">
        <f t="shared" si="7"/>
        <v>0.24233147271390498</v>
      </c>
      <c r="R41" s="46">
        <v>194.27</v>
      </c>
      <c r="S41" s="339">
        <v>102355</v>
      </c>
    </row>
    <row r="42" spans="1:20" ht="31.5">
      <c r="A42" s="306" t="s">
        <v>14</v>
      </c>
      <c r="B42" s="307">
        <v>102360</v>
      </c>
      <c r="C42" s="42" t="s">
        <v>273</v>
      </c>
      <c r="D42" s="43" t="s">
        <v>33</v>
      </c>
      <c r="E42" s="309">
        <f>E41</f>
        <v>75.819999999999993</v>
      </c>
      <c r="F42" s="308">
        <f t="shared" si="5"/>
        <v>32.44</v>
      </c>
      <c r="G42" s="308">
        <f>ROUND($E42*F42,2)</f>
        <v>2459.6</v>
      </c>
      <c r="Q42" s="6">
        <f t="shared" si="7"/>
        <v>0.24233147271390498</v>
      </c>
      <c r="R42" s="46">
        <v>26.12</v>
      </c>
      <c r="S42" s="339">
        <v>102360</v>
      </c>
    </row>
    <row r="43" spans="1:20" ht="23.25" customHeight="1">
      <c r="A43" s="306" t="s">
        <v>15</v>
      </c>
      <c r="B43" s="307">
        <v>100978</v>
      </c>
      <c r="C43" s="42" t="s">
        <v>274</v>
      </c>
      <c r="D43" s="43" t="s">
        <v>33</v>
      </c>
      <c r="E43" s="309">
        <f>ROUND(((E41)*1.4),2)</f>
        <v>106.15</v>
      </c>
      <c r="F43" s="308">
        <f t="shared" si="5"/>
        <v>8.5500000000000007</v>
      </c>
      <c r="G43" s="308">
        <f>ROUND($E43*F43,2)</f>
        <v>907.58</v>
      </c>
      <c r="Q43" s="6">
        <f t="shared" si="7"/>
        <v>0.24233147271390498</v>
      </c>
      <c r="R43" s="46">
        <v>6.89</v>
      </c>
      <c r="S43" s="339">
        <v>100978</v>
      </c>
    </row>
    <row r="44" spans="1:20" ht="23.25" customHeight="1">
      <c r="A44" s="306" t="s">
        <v>25</v>
      </c>
      <c r="B44" s="307">
        <v>93589</v>
      </c>
      <c r="C44" s="42" t="s">
        <v>506</v>
      </c>
      <c r="D44" s="43" t="s">
        <v>179</v>
      </c>
      <c r="E44" s="309">
        <f>ROUND(E43*H44,2)</f>
        <v>212.3</v>
      </c>
      <c r="F44" s="308">
        <f t="shared" si="5"/>
        <v>3.23</v>
      </c>
      <c r="G44" s="308">
        <f t="shared" ref="G44" si="8">ROUND($E44*F44,2)</f>
        <v>685.73</v>
      </c>
      <c r="H44" s="334">
        <f>H27</f>
        <v>2</v>
      </c>
      <c r="Q44" s="6">
        <f t="shared" si="7"/>
        <v>0.24233147271390498</v>
      </c>
      <c r="R44" s="46">
        <v>2.6</v>
      </c>
      <c r="S44" s="339">
        <v>93589</v>
      </c>
    </row>
    <row r="45" spans="1:20" ht="23.25" customHeight="1">
      <c r="A45" s="306" t="s">
        <v>26</v>
      </c>
      <c r="B45" s="307">
        <v>101616</v>
      </c>
      <c r="C45" s="42" t="s">
        <v>271</v>
      </c>
      <c r="D45" s="43" t="s">
        <v>32</v>
      </c>
      <c r="E45" s="309">
        <f>ROUND((E48*K48+E49*K49+E50*K50+E51*K51+E52*K52+E53*K53+E54*K54+E55*K55),2)</f>
        <v>316.95999999999998</v>
      </c>
      <c r="F45" s="308">
        <f t="shared" si="5"/>
        <v>7.86</v>
      </c>
      <c r="G45" s="308">
        <f t="shared" ref="G45" si="9">ROUND($E45*F45,2)</f>
        <v>2491.31</v>
      </c>
      <c r="H45" s="334"/>
      <c r="Q45" s="6">
        <f t="shared" si="7"/>
        <v>0.24233147271390498</v>
      </c>
      <c r="R45" s="46">
        <v>6.33</v>
      </c>
      <c r="S45" s="339">
        <v>101616</v>
      </c>
    </row>
    <row r="46" spans="1:20" ht="23.25" customHeight="1">
      <c r="A46" s="306" t="s">
        <v>27</v>
      </c>
      <c r="B46" s="307">
        <v>100324</v>
      </c>
      <c r="C46" s="42" t="s">
        <v>328</v>
      </c>
      <c r="D46" s="43" t="s">
        <v>33</v>
      </c>
      <c r="E46" s="309">
        <f>ROUND((E48*K48+E49*K49+E50*K50+E52*K52+E53*K53+E54*K54+E55*K55)*0.1,2)</f>
        <v>31.7</v>
      </c>
      <c r="F46" s="308">
        <f t="shared" si="5"/>
        <v>145.41</v>
      </c>
      <c r="G46" s="308">
        <f t="shared" ref="G46:G48" si="10">ROUND($E46*F46,2)</f>
        <v>4609.5</v>
      </c>
      <c r="H46" s="334"/>
      <c r="Q46" s="6">
        <f t="shared" si="7"/>
        <v>0.24233147271390498</v>
      </c>
      <c r="R46" s="46">
        <v>117.05</v>
      </c>
      <c r="S46" s="339">
        <v>100324</v>
      </c>
    </row>
    <row r="47" spans="1:20" ht="23.25" customHeight="1">
      <c r="A47" s="306" t="s">
        <v>28</v>
      </c>
      <c r="B47" s="307">
        <v>95875</v>
      </c>
      <c r="C47" s="42" t="s">
        <v>512</v>
      </c>
      <c r="D47" s="43" t="s">
        <v>179</v>
      </c>
      <c r="E47" s="309">
        <f>ROUND(E46*H47,2)</f>
        <v>640.34</v>
      </c>
      <c r="F47" s="308">
        <f t="shared" si="5"/>
        <v>2.98</v>
      </c>
      <c r="G47" s="308">
        <f t="shared" si="10"/>
        <v>1908.21</v>
      </c>
      <c r="H47" s="334">
        <f>$H$73</f>
        <v>20.2</v>
      </c>
      <c r="I47" s="5" t="s">
        <v>376</v>
      </c>
      <c r="J47" s="5" t="s">
        <v>377</v>
      </c>
      <c r="K47" s="5" t="s">
        <v>378</v>
      </c>
      <c r="L47" s="5" t="s">
        <v>379</v>
      </c>
      <c r="M47" s="5" t="s">
        <v>380</v>
      </c>
      <c r="N47" s="5" t="s">
        <v>381</v>
      </c>
      <c r="O47" s="5" t="s">
        <v>382</v>
      </c>
      <c r="Q47" s="6">
        <f t="shared" si="7"/>
        <v>0.24233147271390498</v>
      </c>
      <c r="R47" s="46">
        <v>2.4</v>
      </c>
      <c r="S47" s="339">
        <v>95875</v>
      </c>
    </row>
    <row r="48" spans="1:20" ht="33.75" customHeight="1">
      <c r="A48" s="306" t="s">
        <v>23</v>
      </c>
      <c r="B48" s="307">
        <v>95570</v>
      </c>
      <c r="C48" s="42" t="s">
        <v>352</v>
      </c>
      <c r="D48" s="43" t="s">
        <v>37</v>
      </c>
      <c r="E48" s="309">
        <v>0</v>
      </c>
      <c r="F48" s="308">
        <f t="shared" si="5"/>
        <v>134.08000000000001</v>
      </c>
      <c r="G48" s="308">
        <f t="shared" si="10"/>
        <v>0</v>
      </c>
      <c r="I48" s="5">
        <f>0.3*1.2</f>
        <v>0.36</v>
      </c>
      <c r="J48" s="5">
        <f t="shared" ref="J48:J54" si="11">I48+0.6+0.1</f>
        <v>1.06</v>
      </c>
      <c r="K48" s="5">
        <f>I48+0.4*2</f>
        <v>1.1600000000000001</v>
      </c>
      <c r="L48" s="5">
        <f>K48*J48</f>
        <v>1.2296000000000002</v>
      </c>
      <c r="M48" s="5">
        <f>L48-O48-N48</f>
        <v>1.0296000000000001</v>
      </c>
      <c r="N48" s="5">
        <v>0.1</v>
      </c>
      <c r="O48" s="5">
        <f>ROUND(PI()*(I48/2)^2,2)</f>
        <v>0.1</v>
      </c>
      <c r="Q48" s="6">
        <f t="shared" si="7"/>
        <v>0.24233147271390498</v>
      </c>
      <c r="R48" s="46">
        <v>107.93</v>
      </c>
      <c r="S48" s="339">
        <v>95570</v>
      </c>
    </row>
    <row r="49" spans="1:19" ht="31.5" customHeight="1">
      <c r="A49" s="306" t="s">
        <v>24</v>
      </c>
      <c r="B49" s="307">
        <v>95571</v>
      </c>
      <c r="C49" s="42" t="s">
        <v>266</v>
      </c>
      <c r="D49" s="43" t="s">
        <v>37</v>
      </c>
      <c r="E49" s="309">
        <v>0</v>
      </c>
      <c r="F49" s="308">
        <f t="shared" si="5"/>
        <v>165.19</v>
      </c>
      <c r="G49" s="308">
        <f t="shared" ref="G49:G68" si="12">ROUND($E49*F49,2)</f>
        <v>0</v>
      </c>
      <c r="I49" s="5">
        <f>0.4*1.2</f>
        <v>0.48</v>
      </c>
      <c r="J49" s="5">
        <f t="shared" si="11"/>
        <v>1.1800000000000002</v>
      </c>
      <c r="K49" s="5">
        <f t="shared" ref="K49:K54" si="13">I49+0.4*2</f>
        <v>1.28</v>
      </c>
      <c r="L49" s="5">
        <f t="shared" ref="L49:L54" si="14">K49*J49</f>
        <v>1.5104000000000002</v>
      </c>
      <c r="M49" s="5">
        <f t="shared" ref="M49:M54" si="15">L49-O49-N49</f>
        <v>1.2304000000000002</v>
      </c>
      <c r="N49" s="5">
        <v>0.1</v>
      </c>
      <c r="O49" s="5">
        <f t="shared" ref="O49:O54" si="16">ROUND(PI()*(I49/2)^2,2)</f>
        <v>0.18</v>
      </c>
      <c r="Q49" s="6">
        <f t="shared" si="7"/>
        <v>0.24233147271390498</v>
      </c>
      <c r="R49" s="46">
        <v>132.97</v>
      </c>
      <c r="S49" s="339">
        <v>95571</v>
      </c>
    </row>
    <row r="50" spans="1:19" ht="31.5" customHeight="1">
      <c r="A50" s="306" t="s">
        <v>191</v>
      </c>
      <c r="B50" s="307">
        <v>92219</v>
      </c>
      <c r="C50" s="42" t="s">
        <v>267</v>
      </c>
      <c r="D50" s="43" t="s">
        <v>37</v>
      </c>
      <c r="E50" s="309">
        <f>14+11+12+12+40+18+17+11+12+9+9+8+9+9+18+22</f>
        <v>231</v>
      </c>
      <c r="F50" s="308">
        <f t="shared" si="5"/>
        <v>236</v>
      </c>
      <c r="G50" s="308">
        <f t="shared" si="12"/>
        <v>54516</v>
      </c>
      <c r="I50" s="5">
        <f>0.4*1.2</f>
        <v>0.48</v>
      </c>
      <c r="J50" s="5">
        <f t="shared" si="11"/>
        <v>1.1800000000000002</v>
      </c>
      <c r="K50" s="5">
        <f t="shared" si="13"/>
        <v>1.28</v>
      </c>
      <c r="L50" s="5">
        <f t="shared" si="14"/>
        <v>1.5104000000000002</v>
      </c>
      <c r="M50" s="5">
        <f t="shared" si="15"/>
        <v>1.2304000000000002</v>
      </c>
      <c r="N50" s="5">
        <v>0.1</v>
      </c>
      <c r="O50" s="5">
        <f t="shared" si="16"/>
        <v>0.18</v>
      </c>
      <c r="Q50" s="6">
        <f t="shared" si="7"/>
        <v>0.24233147271390498</v>
      </c>
      <c r="R50" s="46">
        <v>189.97</v>
      </c>
      <c r="S50" s="339">
        <v>92219</v>
      </c>
    </row>
    <row r="51" spans="1:19" ht="30.75" customHeight="1">
      <c r="A51" s="306" t="s">
        <v>192</v>
      </c>
      <c r="B51" s="307">
        <v>92220</v>
      </c>
      <c r="C51" s="42" t="s">
        <v>429</v>
      </c>
      <c r="D51" s="43" t="s">
        <v>37</v>
      </c>
      <c r="E51" s="309">
        <v>0</v>
      </c>
      <c r="F51" s="308">
        <f t="shared" si="5"/>
        <v>284.22000000000003</v>
      </c>
      <c r="G51" s="308">
        <f t="shared" si="12"/>
        <v>0</v>
      </c>
      <c r="I51" s="5">
        <f>0.5*1.2</f>
        <v>0.6</v>
      </c>
      <c r="J51" s="5">
        <f t="shared" ref="J51" si="17">I51+0.6+0.1</f>
        <v>1.3</v>
      </c>
      <c r="K51" s="5">
        <f t="shared" ref="K51" si="18">I51+0.4*2</f>
        <v>1.4</v>
      </c>
      <c r="L51" s="5">
        <f t="shared" ref="L51" si="19">K51*J51</f>
        <v>1.8199999999999998</v>
      </c>
      <c r="M51" s="5">
        <f t="shared" ref="M51" si="20">L51-O51-N51</f>
        <v>1.4399999999999997</v>
      </c>
      <c r="N51" s="5">
        <v>0.1</v>
      </c>
      <c r="O51" s="5">
        <f t="shared" ref="O51" si="21">ROUND(PI()*(I51/2)^2,2)</f>
        <v>0.28000000000000003</v>
      </c>
      <c r="Q51" s="6">
        <f t="shared" si="7"/>
        <v>0.24233147271390498</v>
      </c>
      <c r="R51" s="46">
        <v>228.78</v>
      </c>
      <c r="S51" s="339">
        <v>92220</v>
      </c>
    </row>
    <row r="52" spans="1:19" ht="30.75" customHeight="1">
      <c r="A52" s="306" t="s">
        <v>406</v>
      </c>
      <c r="B52" s="307" t="s">
        <v>367</v>
      </c>
      <c r="C52" s="42" t="s">
        <v>353</v>
      </c>
      <c r="D52" s="43" t="s">
        <v>37</v>
      </c>
      <c r="E52" s="309"/>
      <c r="F52" s="308">
        <f t="shared" si="5"/>
        <v>254.8</v>
      </c>
      <c r="G52" s="308">
        <f t="shared" ref="G52:G54" si="22">ROUND($E52*F52,2)</f>
        <v>0</v>
      </c>
      <c r="I52" s="5">
        <f>0.6*1.2</f>
        <v>0.72</v>
      </c>
      <c r="J52" s="5">
        <f t="shared" si="11"/>
        <v>1.42</v>
      </c>
      <c r="K52" s="5">
        <f t="shared" si="13"/>
        <v>1.52</v>
      </c>
      <c r="L52" s="5">
        <f t="shared" si="14"/>
        <v>2.1583999999999999</v>
      </c>
      <c r="M52" s="5">
        <f t="shared" si="15"/>
        <v>1.6483999999999999</v>
      </c>
      <c r="N52" s="5">
        <v>0.1</v>
      </c>
      <c r="O52" s="5">
        <f t="shared" si="16"/>
        <v>0.41</v>
      </c>
      <c r="Q52" s="6">
        <f t="shared" si="7"/>
        <v>0.24233147271390498</v>
      </c>
      <c r="R52" s="46">
        <f>Composições!G139</f>
        <v>205.1</v>
      </c>
      <c r="S52" s="339" t="s">
        <v>367</v>
      </c>
    </row>
    <row r="53" spans="1:19" ht="23.25" customHeight="1">
      <c r="A53" s="306" t="s">
        <v>466</v>
      </c>
      <c r="B53" s="307">
        <v>92221</v>
      </c>
      <c r="C53" s="42" t="s">
        <v>397</v>
      </c>
      <c r="D53" s="43" t="s">
        <v>37</v>
      </c>
      <c r="E53" s="309">
        <f>14</f>
        <v>14</v>
      </c>
      <c r="F53" s="308">
        <f t="shared" si="5"/>
        <v>414.56</v>
      </c>
      <c r="G53" s="308">
        <f t="shared" ref="G53" si="23">ROUND($E53*F53,2)</f>
        <v>5803.84</v>
      </c>
      <c r="I53" s="5">
        <f>0.6*1.2</f>
        <v>0.72</v>
      </c>
      <c r="J53" s="5">
        <f t="shared" ref="J53" si="24">I53+0.6+0.1</f>
        <v>1.42</v>
      </c>
      <c r="K53" s="5">
        <f t="shared" ref="K53" si="25">I53+0.4*2</f>
        <v>1.52</v>
      </c>
      <c r="L53" s="5">
        <f t="shared" ref="L53" si="26">K53*J53</f>
        <v>2.1583999999999999</v>
      </c>
      <c r="M53" s="5">
        <f t="shared" ref="M53" si="27">L53-O53-N53</f>
        <v>1.6483999999999999</v>
      </c>
      <c r="N53" s="5">
        <v>0.1</v>
      </c>
      <c r="O53" s="5">
        <f t="shared" ref="O53" si="28">ROUND(PI()*(I53/2)^2,2)</f>
        <v>0.41</v>
      </c>
      <c r="Q53" s="6">
        <f t="shared" si="7"/>
        <v>0.24233147271390498</v>
      </c>
      <c r="R53" s="46">
        <v>333.7</v>
      </c>
      <c r="S53" s="339">
        <v>92221</v>
      </c>
    </row>
    <row r="54" spans="1:19" ht="23.25" customHeight="1">
      <c r="A54" s="306" t="s">
        <v>467</v>
      </c>
      <c r="B54" s="307">
        <v>92223</v>
      </c>
      <c r="C54" s="42" t="s">
        <v>372</v>
      </c>
      <c r="D54" s="43" t="s">
        <v>37</v>
      </c>
      <c r="E54" s="309"/>
      <c r="F54" s="308">
        <f t="shared" si="5"/>
        <v>648.49</v>
      </c>
      <c r="G54" s="308">
        <f t="shared" si="22"/>
        <v>0</v>
      </c>
      <c r="I54" s="5">
        <f>0.8*1.2</f>
        <v>0.96</v>
      </c>
      <c r="J54" s="5">
        <f t="shared" si="11"/>
        <v>1.6600000000000001</v>
      </c>
      <c r="K54" s="5">
        <f t="shared" si="13"/>
        <v>1.76</v>
      </c>
      <c r="L54" s="5">
        <f t="shared" si="14"/>
        <v>2.9216000000000002</v>
      </c>
      <c r="M54" s="5">
        <f t="shared" si="15"/>
        <v>2.1015999999999999</v>
      </c>
      <c r="N54" s="5">
        <v>0.1</v>
      </c>
      <c r="O54" s="5">
        <f t="shared" si="16"/>
        <v>0.72</v>
      </c>
      <c r="Q54" s="6">
        <f t="shared" si="7"/>
        <v>0.24233147271390498</v>
      </c>
      <c r="R54" s="46">
        <v>522</v>
      </c>
      <c r="S54" s="339">
        <v>92223</v>
      </c>
    </row>
    <row r="55" spans="1:19" ht="23.25" customHeight="1">
      <c r="A55" s="306" t="s">
        <v>468</v>
      </c>
      <c r="B55" s="307">
        <v>92226</v>
      </c>
      <c r="C55" s="42" t="s">
        <v>428</v>
      </c>
      <c r="D55" s="43" t="s">
        <v>37</v>
      </c>
      <c r="E55" s="309"/>
      <c r="F55" s="308">
        <f t="shared" si="5"/>
        <v>780.64</v>
      </c>
      <c r="G55" s="308">
        <f t="shared" ref="G55" si="29">ROUND($E55*F55,2)</f>
        <v>0</v>
      </c>
      <c r="I55" s="5">
        <f>1*1.2</f>
        <v>1.2</v>
      </c>
      <c r="J55" s="5">
        <f t="shared" ref="J55" si="30">I55+0.6+0.1</f>
        <v>1.9</v>
      </c>
      <c r="K55" s="5">
        <f t="shared" ref="K55" si="31">I55+0.4*2</f>
        <v>2</v>
      </c>
      <c r="L55" s="5">
        <f t="shared" ref="L55" si="32">K55*J55</f>
        <v>3.8</v>
      </c>
      <c r="M55" s="5">
        <f t="shared" ref="M55" si="33">L55-O55-N55</f>
        <v>2.57</v>
      </c>
      <c r="N55" s="5">
        <v>0.1</v>
      </c>
      <c r="O55" s="5">
        <f t="shared" ref="O55" si="34">ROUND(PI()*(I55/2)^2,2)</f>
        <v>1.1299999999999999</v>
      </c>
      <c r="Q55" s="6">
        <f t="shared" si="7"/>
        <v>0.24233147271390498</v>
      </c>
      <c r="R55" s="46">
        <v>628.37</v>
      </c>
      <c r="S55" s="339">
        <v>92226</v>
      </c>
    </row>
    <row r="56" spans="1:19" ht="23.25" customHeight="1">
      <c r="A56" s="306" t="s">
        <v>469</v>
      </c>
      <c r="B56" s="307">
        <v>93378</v>
      </c>
      <c r="C56" s="42" t="s">
        <v>336</v>
      </c>
      <c r="D56" s="43" t="s">
        <v>33</v>
      </c>
      <c r="E56" s="309">
        <f>ROUND((E40+E41)-((E48*O48+E49*O49+E51*O51+E50*O50+E52*O52+E53*O53+E54*O54+E55*O55)+E46),2)</f>
        <v>300.10000000000002</v>
      </c>
      <c r="F56" s="308">
        <f t="shared" si="5"/>
        <v>29.95</v>
      </c>
      <c r="G56" s="308">
        <f t="shared" si="12"/>
        <v>8988</v>
      </c>
      <c r="Q56" s="6">
        <f t="shared" si="7"/>
        <v>0.24233147271390498</v>
      </c>
      <c r="R56" s="71">
        <v>24.11</v>
      </c>
      <c r="S56" s="344">
        <v>93378</v>
      </c>
    </row>
    <row r="57" spans="1:19" ht="23.25" customHeight="1">
      <c r="A57" s="306" t="s">
        <v>470</v>
      </c>
      <c r="B57" s="307">
        <v>100978</v>
      </c>
      <c r="C57" s="42" t="s">
        <v>384</v>
      </c>
      <c r="D57" s="43" t="s">
        <v>33</v>
      </c>
      <c r="E57" s="309">
        <f>ROUND((((E40+E41)-E56)*1.25),2)</f>
        <v>98.78</v>
      </c>
      <c r="F57" s="308">
        <f t="shared" si="5"/>
        <v>8.5500000000000007</v>
      </c>
      <c r="G57" s="308">
        <f>ROUND($E57*F57,2)</f>
        <v>844.57</v>
      </c>
      <c r="Q57" s="6">
        <f t="shared" si="7"/>
        <v>0.24233147271390498</v>
      </c>
      <c r="R57" s="46">
        <v>6.89</v>
      </c>
      <c r="S57" s="339">
        <v>100978</v>
      </c>
    </row>
    <row r="58" spans="1:19" ht="23.25" customHeight="1">
      <c r="A58" s="306" t="s">
        <v>471</v>
      </c>
      <c r="B58" s="307">
        <v>93589</v>
      </c>
      <c r="C58" s="42" t="s">
        <v>506</v>
      </c>
      <c r="D58" s="43" t="s">
        <v>179</v>
      </c>
      <c r="E58" s="309">
        <f>ROUND(E57*H58,2)</f>
        <v>197.56</v>
      </c>
      <c r="F58" s="308">
        <f t="shared" si="5"/>
        <v>3.23</v>
      </c>
      <c r="G58" s="308">
        <f t="shared" si="12"/>
        <v>638.12</v>
      </c>
      <c r="H58" s="334">
        <f>H27</f>
        <v>2</v>
      </c>
      <c r="Q58" s="6">
        <f t="shared" si="7"/>
        <v>0.24233147271390498</v>
      </c>
      <c r="R58" s="46">
        <v>2.6</v>
      </c>
      <c r="S58" s="339">
        <v>93589</v>
      </c>
    </row>
    <row r="59" spans="1:19" ht="23.25" customHeight="1">
      <c r="A59" s="306" t="s">
        <v>472</v>
      </c>
      <c r="B59" s="307">
        <v>100574</v>
      </c>
      <c r="C59" s="42" t="s">
        <v>324</v>
      </c>
      <c r="D59" s="43" t="s">
        <v>33</v>
      </c>
      <c r="E59" s="309">
        <f>E57</f>
        <v>98.78</v>
      </c>
      <c r="F59" s="308">
        <f t="shared" si="5"/>
        <v>1.92</v>
      </c>
      <c r="G59" s="308">
        <f t="shared" ref="G59:G65" si="35">ROUND($E59*F59,2)</f>
        <v>189.66</v>
      </c>
      <c r="Q59" s="6">
        <f t="shared" si="7"/>
        <v>0.24233147271390498</v>
      </c>
      <c r="R59" s="46">
        <v>1.55</v>
      </c>
      <c r="S59" s="339">
        <v>100574</v>
      </c>
    </row>
    <row r="60" spans="1:19" ht="23.25" customHeight="1">
      <c r="A60" s="306" t="s">
        <v>473</v>
      </c>
      <c r="B60" s="307" t="s">
        <v>434</v>
      </c>
      <c r="C60" s="42" t="s">
        <v>432</v>
      </c>
      <c r="D60" s="43" t="s">
        <v>40</v>
      </c>
      <c r="E60" s="309">
        <f>2+2+2+2+2+2+2+2+2+2+2+2+2+2+2+2</f>
        <v>32</v>
      </c>
      <c r="F60" s="308">
        <f t="shared" si="5"/>
        <v>442.27</v>
      </c>
      <c r="G60" s="308">
        <f t="shared" si="35"/>
        <v>14152.64</v>
      </c>
      <c r="Q60" s="6">
        <f t="shared" si="7"/>
        <v>0.24233147271390498</v>
      </c>
      <c r="R60" s="46">
        <f>Composições!G206</f>
        <v>355.99999999999994</v>
      </c>
      <c r="S60" s="339" t="s">
        <v>434</v>
      </c>
    </row>
    <row r="61" spans="1:19" ht="23.25" customHeight="1">
      <c r="A61" s="306" t="s">
        <v>474</v>
      </c>
      <c r="B61" s="307" t="s">
        <v>435</v>
      </c>
      <c r="C61" s="42" t="s">
        <v>433</v>
      </c>
      <c r="D61" s="43" t="s">
        <v>40</v>
      </c>
      <c r="E61" s="309">
        <f>2</f>
        <v>2</v>
      </c>
      <c r="F61" s="308">
        <f t="shared" si="5"/>
        <v>663.4</v>
      </c>
      <c r="G61" s="308">
        <f t="shared" si="35"/>
        <v>1326.8</v>
      </c>
      <c r="Q61" s="6">
        <f t="shared" si="7"/>
        <v>0.24233147271390498</v>
      </c>
      <c r="R61" s="46">
        <f>Composições!G220</f>
        <v>534</v>
      </c>
      <c r="S61" s="339" t="s">
        <v>435</v>
      </c>
    </row>
    <row r="62" spans="1:19" ht="23.25" customHeight="1">
      <c r="A62" s="306" t="s">
        <v>475</v>
      </c>
      <c r="B62" s="307">
        <v>102737</v>
      </c>
      <c r="C62" s="42" t="s">
        <v>374</v>
      </c>
      <c r="D62" s="43" t="s">
        <v>40</v>
      </c>
      <c r="E62" s="309">
        <v>0</v>
      </c>
      <c r="F62" s="308">
        <f t="shared" si="5"/>
        <v>1389.43</v>
      </c>
      <c r="G62" s="308">
        <f t="shared" si="35"/>
        <v>0</v>
      </c>
      <c r="Q62" s="6">
        <f t="shared" si="7"/>
        <v>0.24233147271390498</v>
      </c>
      <c r="R62" s="46">
        <v>1118.4100000000001</v>
      </c>
      <c r="S62" s="339">
        <v>102737</v>
      </c>
    </row>
    <row r="63" spans="1:19" ht="23.25" customHeight="1">
      <c r="A63" s="306" t="s">
        <v>476</v>
      </c>
      <c r="B63" s="307">
        <v>102738</v>
      </c>
      <c r="C63" s="42" t="s">
        <v>398</v>
      </c>
      <c r="D63" s="43" t="s">
        <v>40</v>
      </c>
      <c r="E63" s="309">
        <v>0</v>
      </c>
      <c r="F63" s="308">
        <f t="shared" si="5"/>
        <v>2831.48</v>
      </c>
      <c r="G63" s="308">
        <f t="shared" si="35"/>
        <v>0</v>
      </c>
      <c r="Q63" s="6">
        <f t="shared" si="7"/>
        <v>0.24233147271390498</v>
      </c>
      <c r="R63" s="46">
        <v>2279.17</v>
      </c>
      <c r="S63" s="339">
        <v>102738</v>
      </c>
    </row>
    <row r="64" spans="1:19" ht="23.25" customHeight="1">
      <c r="A64" s="306" t="s">
        <v>477</v>
      </c>
      <c r="B64" s="307">
        <v>102739</v>
      </c>
      <c r="C64" s="42" t="s">
        <v>375</v>
      </c>
      <c r="D64" s="43" t="s">
        <v>40</v>
      </c>
      <c r="E64" s="309">
        <v>0</v>
      </c>
      <c r="F64" s="308">
        <f t="shared" si="5"/>
        <v>4736.68</v>
      </c>
      <c r="G64" s="308">
        <f t="shared" si="35"/>
        <v>0</v>
      </c>
      <c r="Q64" s="6">
        <f t="shared" si="7"/>
        <v>0.24233147271390498</v>
      </c>
      <c r="R64" s="46">
        <v>3812.74</v>
      </c>
      <c r="S64" s="339">
        <v>102739</v>
      </c>
    </row>
    <row r="65" spans="1:26" ht="23.25" customHeight="1">
      <c r="A65" s="306" t="s">
        <v>478</v>
      </c>
      <c r="B65" s="307">
        <v>102740</v>
      </c>
      <c r="C65" s="42" t="s">
        <v>430</v>
      </c>
      <c r="D65" s="43" t="s">
        <v>40</v>
      </c>
      <c r="E65" s="309">
        <v>0</v>
      </c>
      <c r="F65" s="308">
        <f t="shared" si="5"/>
        <v>7087.15</v>
      </c>
      <c r="G65" s="308">
        <f t="shared" si="35"/>
        <v>0</v>
      </c>
      <c r="Q65" s="6">
        <f t="shared" si="7"/>
        <v>0.24233147271390498</v>
      </c>
      <c r="R65" s="46">
        <v>5704.72</v>
      </c>
      <c r="S65" s="339">
        <v>102740</v>
      </c>
    </row>
    <row r="66" spans="1:26" ht="23.25" customHeight="1">
      <c r="A66" s="306" t="s">
        <v>479</v>
      </c>
      <c r="B66" s="307" t="s">
        <v>358</v>
      </c>
      <c r="C66" s="42" t="s">
        <v>329</v>
      </c>
      <c r="D66" s="43" t="s">
        <v>40</v>
      </c>
      <c r="E66" s="309">
        <v>0</v>
      </c>
      <c r="F66" s="308">
        <f t="shared" si="5"/>
        <v>2708.46</v>
      </c>
      <c r="G66" s="308">
        <f t="shared" si="12"/>
        <v>0</v>
      </c>
      <c r="Q66" s="6">
        <f t="shared" si="7"/>
        <v>0.24233147271390498</v>
      </c>
      <c r="R66" s="46">
        <f>Composições!G160</f>
        <v>2180.1499999999996</v>
      </c>
      <c r="S66" s="339" t="s">
        <v>358</v>
      </c>
      <c r="T66" s="74"/>
      <c r="U66" s="74"/>
      <c r="V66" s="74"/>
      <c r="W66" s="74"/>
      <c r="X66" s="74"/>
      <c r="Y66" s="74"/>
      <c r="Z66" s="74"/>
    </row>
    <row r="67" spans="1:26" ht="21" customHeight="1">
      <c r="A67" s="306" t="s">
        <v>480</v>
      </c>
      <c r="B67" s="307" t="s">
        <v>437</v>
      </c>
      <c r="C67" s="42" t="s">
        <v>438</v>
      </c>
      <c r="D67" s="43" t="s">
        <v>40</v>
      </c>
      <c r="E67" s="309">
        <v>0</v>
      </c>
      <c r="F67" s="308">
        <f t="shared" si="5"/>
        <v>3772.17</v>
      </c>
      <c r="G67" s="308">
        <f t="shared" ref="G67" si="36">ROUND($E67*F67,2)</f>
        <v>0</v>
      </c>
      <c r="Q67" s="6">
        <f t="shared" si="7"/>
        <v>0.24233147271390498</v>
      </c>
      <c r="R67" s="46">
        <f>Composições!G240</f>
        <v>3036.3699999999994</v>
      </c>
      <c r="S67" s="339" t="s">
        <v>437</v>
      </c>
      <c r="T67" s="74"/>
      <c r="U67" s="74"/>
      <c r="V67" s="74"/>
      <c r="W67" s="74"/>
      <c r="X67" s="74"/>
      <c r="Y67" s="74"/>
      <c r="Z67" s="74"/>
    </row>
    <row r="68" spans="1:26" ht="23.25" customHeight="1">
      <c r="A68" s="306" t="s">
        <v>481</v>
      </c>
      <c r="B68" s="307">
        <v>103006</v>
      </c>
      <c r="C68" s="42" t="s">
        <v>268</v>
      </c>
      <c r="D68" s="43" t="s">
        <v>40</v>
      </c>
      <c r="E68" s="309">
        <v>0</v>
      </c>
      <c r="F68" s="308">
        <f t="shared" si="5"/>
        <v>1006.85</v>
      </c>
      <c r="G68" s="308">
        <f t="shared" si="12"/>
        <v>0</v>
      </c>
      <c r="Q68" s="6">
        <f t="shared" si="7"/>
        <v>0.24233147271390498</v>
      </c>
      <c r="R68" s="46">
        <v>810.46</v>
      </c>
      <c r="S68" s="339">
        <v>103006</v>
      </c>
    </row>
    <row r="69" spans="1:26" s="56" customFormat="1" ht="23.25" customHeight="1">
      <c r="A69" s="48" t="str">
        <f>CONCATENATE("TOTAL DO ITEM ",A39," - ",C39)</f>
        <v>TOTAL DO ITEM 3 - DRENAGEM</v>
      </c>
      <c r="B69" s="75"/>
      <c r="C69" s="66"/>
      <c r="D69" s="49"/>
      <c r="E69" s="49"/>
      <c r="F69" s="73"/>
      <c r="G69" s="53">
        <f>SUM(G40:G68)</f>
        <v>123039.75</v>
      </c>
      <c r="H69" s="54"/>
      <c r="I69" s="54"/>
      <c r="J69" s="54"/>
      <c r="K69" s="54"/>
      <c r="L69" s="54"/>
      <c r="M69" s="54"/>
      <c r="N69" s="54"/>
      <c r="O69" s="54"/>
      <c r="P69" s="54"/>
      <c r="Q69" s="55"/>
      <c r="S69" s="342"/>
    </row>
    <row r="70" spans="1:26" s="40" customFormat="1" ht="23.25" customHeight="1">
      <c r="A70" s="57">
        <v>4</v>
      </c>
      <c r="B70" s="58"/>
      <c r="C70" s="59" t="s">
        <v>17</v>
      </c>
      <c r="D70" s="60"/>
      <c r="E70" s="35"/>
      <c r="F70" s="61"/>
      <c r="G70" s="62"/>
      <c r="H70" s="5" t="s">
        <v>41</v>
      </c>
      <c r="I70" s="5"/>
      <c r="J70" s="5"/>
      <c r="K70" s="5"/>
      <c r="L70" s="5"/>
      <c r="M70" s="5"/>
      <c r="N70" s="5"/>
      <c r="O70" s="5"/>
      <c r="P70" s="5"/>
      <c r="Q70" s="63"/>
      <c r="S70" s="340"/>
    </row>
    <row r="71" spans="1:26" ht="23.25" customHeight="1">
      <c r="A71" s="41" t="s">
        <v>16</v>
      </c>
      <c r="B71" s="64">
        <v>96400</v>
      </c>
      <c r="C71" s="42" t="s">
        <v>488</v>
      </c>
      <c r="D71" s="43" t="s">
        <v>33</v>
      </c>
      <c r="E71" s="44">
        <f>ROUND(((700*(7+0.15+0.15+0.15+0.15+0.2))*0.2),2)</f>
        <v>1092</v>
      </c>
      <c r="F71" s="45">
        <f t="shared" ref="F71:F84" si="37">TRUNC($R71*(1+$Q71),2)</f>
        <v>146.75</v>
      </c>
      <c r="G71" s="45">
        <f t="shared" ref="G71:G83" si="38">ROUND($E71*F71,2)</f>
        <v>160251</v>
      </c>
      <c r="Q71" s="6">
        <f t="shared" ref="Q71:Q84" si="39">$Q$14</f>
        <v>0.24233147271390498</v>
      </c>
      <c r="R71" s="46">
        <v>118.13</v>
      </c>
      <c r="S71" s="339">
        <v>96400</v>
      </c>
    </row>
    <row r="72" spans="1:26" ht="23.25" customHeight="1">
      <c r="A72" s="41" t="s">
        <v>385</v>
      </c>
      <c r="B72" s="64">
        <v>100978</v>
      </c>
      <c r="C72" s="42" t="s">
        <v>325</v>
      </c>
      <c r="D72" s="43" t="s">
        <v>33</v>
      </c>
      <c r="E72" s="44">
        <f>ROUND(E71*1.4,2)</f>
        <v>1528.8</v>
      </c>
      <c r="F72" s="45">
        <f t="shared" si="37"/>
        <v>8.5500000000000007</v>
      </c>
      <c r="G72" s="45">
        <f t="shared" si="38"/>
        <v>13071.24</v>
      </c>
      <c r="Q72" s="6">
        <f t="shared" si="39"/>
        <v>0.24233147271390498</v>
      </c>
      <c r="R72" s="46">
        <v>6.89</v>
      </c>
      <c r="S72" s="339">
        <v>100978</v>
      </c>
    </row>
    <row r="73" spans="1:26" ht="23.25" customHeight="1">
      <c r="A73" s="41" t="s">
        <v>21</v>
      </c>
      <c r="B73" s="64">
        <v>95875</v>
      </c>
      <c r="C73" s="42" t="s">
        <v>512</v>
      </c>
      <c r="D73" s="43" t="s">
        <v>179</v>
      </c>
      <c r="E73" s="44">
        <f>ROUND(E72*$H73,2)</f>
        <v>30881.759999999998</v>
      </c>
      <c r="F73" s="45">
        <f t="shared" si="37"/>
        <v>2.98</v>
      </c>
      <c r="G73" s="45">
        <f t="shared" si="38"/>
        <v>92027.64</v>
      </c>
      <c r="H73" s="334">
        <f>'DMT''S'!$B$6</f>
        <v>20.2</v>
      </c>
      <c r="Q73" s="6">
        <f t="shared" si="39"/>
        <v>0.24233147271390498</v>
      </c>
      <c r="R73" s="46">
        <v>2.4</v>
      </c>
      <c r="S73" s="339">
        <v>95875</v>
      </c>
    </row>
    <row r="74" spans="1:26" ht="23.25" customHeight="1">
      <c r="A74" s="41" t="s">
        <v>44</v>
      </c>
      <c r="B74" s="64">
        <v>96396</v>
      </c>
      <c r="C74" s="42" t="s">
        <v>507</v>
      </c>
      <c r="D74" s="43" t="s">
        <v>33</v>
      </c>
      <c r="E74" s="44">
        <f>ROUND((((700*(7+0.15+0.15+0.15)))*0.15),2)</f>
        <v>782.25</v>
      </c>
      <c r="F74" s="45">
        <f t="shared" si="37"/>
        <v>161.34</v>
      </c>
      <c r="G74" s="45">
        <f t="shared" si="38"/>
        <v>126208.22</v>
      </c>
      <c r="H74" s="334"/>
      <c r="Q74" s="6">
        <f t="shared" si="39"/>
        <v>0.24233147271390498</v>
      </c>
      <c r="R74" s="46">
        <v>129.87</v>
      </c>
      <c r="S74" s="339">
        <v>96396</v>
      </c>
    </row>
    <row r="75" spans="1:26" ht="23.25" customHeight="1">
      <c r="A75" s="41" t="s">
        <v>45</v>
      </c>
      <c r="B75" s="64">
        <v>100978</v>
      </c>
      <c r="C75" s="42" t="s">
        <v>326</v>
      </c>
      <c r="D75" s="43" t="s">
        <v>33</v>
      </c>
      <c r="E75" s="44">
        <f>ROUND(E74*1.47,2)</f>
        <v>1149.9100000000001</v>
      </c>
      <c r="F75" s="45">
        <f t="shared" si="37"/>
        <v>8.5500000000000007</v>
      </c>
      <c r="G75" s="45">
        <f t="shared" si="38"/>
        <v>9831.73</v>
      </c>
      <c r="H75" s="334"/>
      <c r="Q75" s="6">
        <f t="shared" si="39"/>
        <v>0.24233147271390498</v>
      </c>
      <c r="R75" s="46">
        <v>6.89</v>
      </c>
      <c r="S75" s="339">
        <v>100978</v>
      </c>
    </row>
    <row r="76" spans="1:26" ht="23.25" customHeight="1">
      <c r="A76" s="41" t="s">
        <v>46</v>
      </c>
      <c r="B76" s="64">
        <v>95875</v>
      </c>
      <c r="C76" s="42" t="s">
        <v>512</v>
      </c>
      <c r="D76" s="43" t="s">
        <v>179</v>
      </c>
      <c r="E76" s="44">
        <f>ROUND(E75*$H76,2)</f>
        <v>23228.18</v>
      </c>
      <c r="F76" s="45">
        <f t="shared" si="37"/>
        <v>2.98</v>
      </c>
      <c r="G76" s="45">
        <f t="shared" si="38"/>
        <v>69219.98</v>
      </c>
      <c r="H76" s="334">
        <f>$H$73</f>
        <v>20.2</v>
      </c>
      <c r="Q76" s="6">
        <f t="shared" si="39"/>
        <v>0.24233147271390498</v>
      </c>
      <c r="R76" s="46">
        <v>2.4</v>
      </c>
      <c r="S76" s="339">
        <v>95875</v>
      </c>
    </row>
    <row r="77" spans="1:26" ht="23.25" customHeight="1">
      <c r="A77" s="41" t="s">
        <v>331</v>
      </c>
      <c r="B77" s="64">
        <v>94273</v>
      </c>
      <c r="C77" s="42" t="s">
        <v>427</v>
      </c>
      <c r="D77" s="43" t="s">
        <v>37</v>
      </c>
      <c r="E77" s="44">
        <v>0</v>
      </c>
      <c r="F77" s="45">
        <f t="shared" si="37"/>
        <v>69.239999999999995</v>
      </c>
      <c r="G77" s="45">
        <f t="shared" si="38"/>
        <v>0</v>
      </c>
      <c r="H77" s="334"/>
      <c r="Q77" s="6">
        <f t="shared" si="39"/>
        <v>0.24233147271390498</v>
      </c>
      <c r="R77" s="46">
        <v>55.74</v>
      </c>
      <c r="S77" s="339">
        <v>94273</v>
      </c>
    </row>
    <row r="78" spans="1:26" ht="23.25" customHeight="1">
      <c r="A78" s="41" t="s">
        <v>368</v>
      </c>
      <c r="B78" s="64" t="s">
        <v>348</v>
      </c>
      <c r="C78" s="42" t="s">
        <v>180</v>
      </c>
      <c r="D78" s="43" t="s">
        <v>32</v>
      </c>
      <c r="E78" s="44">
        <f>ROUND((700*(7+0.15+0.15+0.15+0.15)),2)</f>
        <v>5320</v>
      </c>
      <c r="F78" s="45">
        <f t="shared" si="37"/>
        <v>10.02</v>
      </c>
      <c r="G78" s="45">
        <f t="shared" si="38"/>
        <v>53306.400000000001</v>
      </c>
      <c r="H78" s="334"/>
      <c r="Q78" s="6">
        <f t="shared" si="39"/>
        <v>0.24233147271390498</v>
      </c>
      <c r="R78" s="71">
        <f>Composições!G72</f>
        <v>8.0700000000000021</v>
      </c>
      <c r="S78" s="339" t="s">
        <v>348</v>
      </c>
    </row>
    <row r="79" spans="1:26" ht="23.25" customHeight="1">
      <c r="A79" s="41" t="s">
        <v>332</v>
      </c>
      <c r="B79" s="64" t="s">
        <v>349</v>
      </c>
      <c r="C79" s="42" t="s">
        <v>182</v>
      </c>
      <c r="D79" s="43" t="s">
        <v>32</v>
      </c>
      <c r="E79" s="44">
        <f>ROUND((700*6.5),2)</f>
        <v>4550</v>
      </c>
      <c r="F79" s="45">
        <f t="shared" si="37"/>
        <v>3.39</v>
      </c>
      <c r="G79" s="45">
        <f t="shared" si="38"/>
        <v>15424.5</v>
      </c>
      <c r="H79" s="334"/>
      <c r="Q79" s="6">
        <f t="shared" si="39"/>
        <v>0.24233147271390498</v>
      </c>
      <c r="R79" s="71">
        <f>Composições!G88</f>
        <v>2.7299999999999995</v>
      </c>
      <c r="S79" s="339" t="s">
        <v>349</v>
      </c>
    </row>
    <row r="80" spans="1:26" ht="27.75" customHeight="1">
      <c r="A80" s="41" t="s">
        <v>333</v>
      </c>
      <c r="B80" s="64" t="s">
        <v>350</v>
      </c>
      <c r="C80" s="42" t="s">
        <v>183</v>
      </c>
      <c r="D80" s="43" t="s">
        <v>33</v>
      </c>
      <c r="E80" s="44">
        <f>ROUND(E79*0.05,2)</f>
        <v>227.5</v>
      </c>
      <c r="F80" s="45">
        <f t="shared" si="37"/>
        <v>1512.29</v>
      </c>
      <c r="G80" s="45">
        <f t="shared" si="38"/>
        <v>344045.98</v>
      </c>
      <c r="H80" s="334"/>
      <c r="Q80" s="6">
        <f t="shared" si="39"/>
        <v>0.24233147271390498</v>
      </c>
      <c r="R80" s="71">
        <f>Composições!G105</f>
        <v>1217.3000000000002</v>
      </c>
      <c r="S80" s="339" t="s">
        <v>350</v>
      </c>
    </row>
    <row r="81" spans="1:19" ht="23.25" customHeight="1">
      <c r="A81" s="41" t="s">
        <v>334</v>
      </c>
      <c r="B81" s="64">
        <v>100978</v>
      </c>
      <c r="C81" s="42" t="s">
        <v>327</v>
      </c>
      <c r="D81" s="43" t="s">
        <v>33</v>
      </c>
      <c r="E81" s="44">
        <f>ROUND(E80*1.47,2)</f>
        <v>334.43</v>
      </c>
      <c r="F81" s="45">
        <f t="shared" si="37"/>
        <v>8.5500000000000007</v>
      </c>
      <c r="G81" s="45">
        <f t="shared" si="38"/>
        <v>2859.38</v>
      </c>
      <c r="H81" s="334"/>
      <c r="Q81" s="6">
        <f t="shared" si="39"/>
        <v>0.24233147271390498</v>
      </c>
      <c r="R81" s="46">
        <v>6.89</v>
      </c>
      <c r="S81" s="339">
        <v>100978</v>
      </c>
    </row>
    <row r="82" spans="1:19" ht="23.25" customHeight="1">
      <c r="A82" s="41" t="s">
        <v>404</v>
      </c>
      <c r="B82" s="64">
        <v>95875</v>
      </c>
      <c r="C82" s="42" t="s">
        <v>512</v>
      </c>
      <c r="D82" s="43" t="s">
        <v>179</v>
      </c>
      <c r="E82" s="44">
        <f>ROUND(E81*$H82,2)</f>
        <v>5551.54</v>
      </c>
      <c r="F82" s="45">
        <f t="shared" si="37"/>
        <v>2.98</v>
      </c>
      <c r="G82" s="45">
        <f t="shared" si="38"/>
        <v>16543.59</v>
      </c>
      <c r="H82" s="334">
        <f>'DMT''S'!B22</f>
        <v>16.600000000000001</v>
      </c>
      <c r="Q82" s="6">
        <f t="shared" si="39"/>
        <v>0.24233147271390498</v>
      </c>
      <c r="R82" s="46">
        <v>2.4</v>
      </c>
      <c r="S82" s="339">
        <v>95875</v>
      </c>
    </row>
    <row r="83" spans="1:19" ht="23.25" customHeight="1">
      <c r="A83" s="41" t="s">
        <v>335</v>
      </c>
      <c r="B83" s="64">
        <v>102491</v>
      </c>
      <c r="C83" s="42" t="s">
        <v>407</v>
      </c>
      <c r="D83" s="43" t="s">
        <v>32</v>
      </c>
      <c r="E83" s="44">
        <f>ROUND(E77*0.28,2)</f>
        <v>0</v>
      </c>
      <c r="F83" s="45">
        <f t="shared" si="37"/>
        <v>25.96</v>
      </c>
      <c r="G83" s="45">
        <f t="shared" si="38"/>
        <v>0</v>
      </c>
      <c r="H83" s="334"/>
      <c r="Q83" s="6">
        <f t="shared" si="39"/>
        <v>0.24233147271390498</v>
      </c>
      <c r="R83" s="46">
        <v>20.9</v>
      </c>
      <c r="S83" s="339">
        <v>102491</v>
      </c>
    </row>
    <row r="84" spans="1:19" ht="23.25" customHeight="1">
      <c r="A84" s="41" t="s">
        <v>494</v>
      </c>
      <c r="B84" s="64">
        <v>102498</v>
      </c>
      <c r="C84" s="42" t="s">
        <v>495</v>
      </c>
      <c r="D84" s="43" t="s">
        <v>37</v>
      </c>
      <c r="E84" s="44">
        <v>0</v>
      </c>
      <c r="F84" s="45">
        <f t="shared" si="37"/>
        <v>1.9</v>
      </c>
      <c r="G84" s="45">
        <f t="shared" ref="G84" si="40">ROUND($E84*F84,2)</f>
        <v>0</v>
      </c>
      <c r="Q84" s="6">
        <f t="shared" si="39"/>
        <v>0.24233147271390498</v>
      </c>
      <c r="R84" s="46">
        <v>1.53</v>
      </c>
      <c r="S84" s="339">
        <v>102498</v>
      </c>
    </row>
    <row r="85" spans="1:19" s="56" customFormat="1" ht="23.25" customHeight="1">
      <c r="A85" s="48" t="str">
        <f>CONCATENATE("TOTAL DO ITEM ",A70," - ",C70)</f>
        <v>TOTAL DO ITEM 4 - PAVIMENTAÇÃO</v>
      </c>
      <c r="B85" s="49"/>
      <c r="C85" s="66"/>
      <c r="D85" s="49"/>
      <c r="E85" s="72"/>
      <c r="F85" s="73"/>
      <c r="G85" s="53">
        <f>SUM(G71:G84)</f>
        <v>902789.65999999992</v>
      </c>
      <c r="H85" s="54"/>
      <c r="I85" s="54"/>
      <c r="J85" s="54"/>
      <c r="K85" s="54"/>
      <c r="L85" s="54"/>
      <c r="M85" s="54"/>
      <c r="N85" s="54"/>
      <c r="O85" s="54"/>
      <c r="P85" s="54"/>
      <c r="Q85" s="55"/>
      <c r="R85" s="69"/>
      <c r="S85" s="342"/>
    </row>
    <row r="86" spans="1:19" s="40" customFormat="1" ht="23.25" customHeight="1">
      <c r="A86" s="57">
        <v>5</v>
      </c>
      <c r="B86" s="58"/>
      <c r="C86" s="59" t="s">
        <v>42</v>
      </c>
      <c r="D86" s="60"/>
      <c r="E86" s="35"/>
      <c r="F86" s="61"/>
      <c r="G86" s="62"/>
      <c r="H86" s="37"/>
      <c r="I86" s="37"/>
      <c r="J86" s="37"/>
      <c r="K86" s="37"/>
      <c r="L86" s="37"/>
      <c r="M86" s="37"/>
      <c r="N86" s="37"/>
      <c r="O86" s="37"/>
      <c r="P86" s="37"/>
      <c r="Q86" s="63"/>
      <c r="S86" s="340"/>
    </row>
    <row r="87" spans="1:19" ht="31.5">
      <c r="A87" s="41" t="s">
        <v>18</v>
      </c>
      <c r="B87" s="64">
        <v>102512</v>
      </c>
      <c r="C87" s="42" t="s">
        <v>369</v>
      </c>
      <c r="D87" s="43" t="s">
        <v>37</v>
      </c>
      <c r="E87" s="351">
        <f>ROUND((700*3),2)</f>
        <v>2100</v>
      </c>
      <c r="F87" s="45">
        <f t="shared" ref="F87:F96" si="41">TRUNC($R87*(1+$Q87),2)</f>
        <v>6.84</v>
      </c>
      <c r="G87" s="45">
        <f t="shared" ref="G87:G95" si="42">ROUND($E87*F87,2)</f>
        <v>14364</v>
      </c>
      <c r="Q87" s="6">
        <f t="shared" ref="Q87:Q96" si="43">$Q$14</f>
        <v>0.24233147271390498</v>
      </c>
      <c r="R87" s="46">
        <v>5.51</v>
      </c>
      <c r="S87" s="339">
        <v>102512</v>
      </c>
    </row>
    <row r="88" spans="1:19" ht="15.75">
      <c r="A88" s="41" t="s">
        <v>19</v>
      </c>
      <c r="B88" s="64">
        <v>99814</v>
      </c>
      <c r="C88" s="42" t="s">
        <v>508</v>
      </c>
      <c r="D88" s="43" t="s">
        <v>32</v>
      </c>
      <c r="E88" s="351">
        <f>E87*0.12</f>
        <v>252</v>
      </c>
      <c r="F88" s="45">
        <f t="shared" si="41"/>
        <v>2.44</v>
      </c>
      <c r="G88" s="45">
        <f t="shared" si="42"/>
        <v>614.88</v>
      </c>
      <c r="Q88" s="6">
        <f t="shared" si="43"/>
        <v>0.24233147271390498</v>
      </c>
      <c r="R88" s="46">
        <v>1.97</v>
      </c>
      <c r="S88" s="339">
        <v>99814</v>
      </c>
    </row>
    <row r="89" spans="1:19" ht="23.25" customHeight="1">
      <c r="A89" s="41" t="s">
        <v>20</v>
      </c>
      <c r="B89" s="64" t="s">
        <v>341</v>
      </c>
      <c r="C89" s="42" t="s">
        <v>456</v>
      </c>
      <c r="D89" s="43" t="s">
        <v>40</v>
      </c>
      <c r="E89" s="44">
        <v>3</v>
      </c>
      <c r="F89" s="45">
        <f t="shared" si="41"/>
        <v>310.62</v>
      </c>
      <c r="G89" s="45">
        <f t="shared" ref="G89" si="44">ROUND($E89*F89,2)</f>
        <v>931.86</v>
      </c>
      <c r="Q89" s="6">
        <f t="shared" si="43"/>
        <v>0.24233147271390498</v>
      </c>
      <c r="R89" s="46">
        <v>250.03</v>
      </c>
      <c r="S89" s="339" t="s">
        <v>341</v>
      </c>
    </row>
    <row r="90" spans="1:19" ht="23.25" customHeight="1">
      <c r="A90" s="41" t="s">
        <v>47</v>
      </c>
      <c r="B90" s="64" t="s">
        <v>341</v>
      </c>
      <c r="C90" s="42" t="s">
        <v>457</v>
      </c>
      <c r="D90" s="43" t="s">
        <v>40</v>
      </c>
      <c r="E90" s="44">
        <v>3</v>
      </c>
      <c r="F90" s="45">
        <f t="shared" si="41"/>
        <v>310.62</v>
      </c>
      <c r="G90" s="45">
        <f t="shared" ref="G90" si="45">ROUND($E90*F90,2)</f>
        <v>931.86</v>
      </c>
      <c r="Q90" s="6">
        <f t="shared" si="43"/>
        <v>0.24233147271390498</v>
      </c>
      <c r="R90" s="46">
        <v>250.03</v>
      </c>
      <c r="S90" s="339" t="s">
        <v>341</v>
      </c>
    </row>
    <row r="91" spans="1:19" ht="23.25" customHeight="1">
      <c r="A91" s="41" t="s">
        <v>462</v>
      </c>
      <c r="B91" s="64" t="s">
        <v>341</v>
      </c>
      <c r="C91" s="42" t="s">
        <v>487</v>
      </c>
      <c r="D91" s="43" t="s">
        <v>40</v>
      </c>
      <c r="E91" s="44">
        <v>1</v>
      </c>
      <c r="F91" s="45">
        <f t="shared" si="41"/>
        <v>310.62</v>
      </c>
      <c r="G91" s="45">
        <f t="shared" ref="G91" si="46">ROUND($E91*F91,2)</f>
        <v>310.62</v>
      </c>
      <c r="Q91" s="6">
        <f t="shared" si="43"/>
        <v>0.24233147271390498</v>
      </c>
      <c r="R91" s="46">
        <v>250.03</v>
      </c>
      <c r="S91" s="339" t="s">
        <v>341</v>
      </c>
    </row>
    <row r="92" spans="1:19" ht="23.25" customHeight="1">
      <c r="A92" s="41" t="s">
        <v>463</v>
      </c>
      <c r="B92" s="64" t="s">
        <v>342</v>
      </c>
      <c r="C92" s="42" t="s">
        <v>38</v>
      </c>
      <c r="D92" s="43" t="s">
        <v>40</v>
      </c>
      <c r="E92" s="44">
        <f>SUM(E89+E90+E91)</f>
        <v>7</v>
      </c>
      <c r="F92" s="45">
        <f t="shared" si="41"/>
        <v>569.41999999999996</v>
      </c>
      <c r="G92" s="45">
        <f t="shared" si="42"/>
        <v>3985.94</v>
      </c>
      <c r="Q92" s="6">
        <f t="shared" si="43"/>
        <v>0.24233147271390498</v>
      </c>
      <c r="R92" s="46">
        <v>458.35</v>
      </c>
      <c r="S92" s="339" t="s">
        <v>342</v>
      </c>
    </row>
    <row r="93" spans="1:19" ht="23.25" customHeight="1">
      <c r="A93" s="41" t="s">
        <v>464</v>
      </c>
      <c r="B93" s="64" t="s">
        <v>458</v>
      </c>
      <c r="C93" s="42" t="s">
        <v>459</v>
      </c>
      <c r="D93" s="43" t="s">
        <v>40</v>
      </c>
      <c r="E93" s="44"/>
      <c r="F93" s="45">
        <f>TRUNC($R93*(1+$Q93),2)</f>
        <v>1125.8800000000001</v>
      </c>
      <c r="G93" s="45">
        <f>ROUND($E93*F93,2)</f>
        <v>0</v>
      </c>
      <c r="Q93" s="6">
        <f t="shared" si="43"/>
        <v>0.24233147271390498</v>
      </c>
      <c r="R93" s="46">
        <v>906.27</v>
      </c>
      <c r="S93" s="339" t="s">
        <v>458</v>
      </c>
    </row>
    <row r="94" spans="1:19" ht="23.25" customHeight="1">
      <c r="A94" s="41" t="s">
        <v>465</v>
      </c>
      <c r="B94" s="64" t="s">
        <v>460</v>
      </c>
      <c r="C94" s="42" t="s">
        <v>461</v>
      </c>
      <c r="D94" s="43" t="s">
        <v>40</v>
      </c>
      <c r="E94" s="44"/>
      <c r="F94" s="45">
        <f t="shared" si="41"/>
        <v>1395.66</v>
      </c>
      <c r="G94" s="45">
        <f t="shared" ref="G94" si="47">ROUND($E94*F94,2)</f>
        <v>0</v>
      </c>
      <c r="Q94" s="6">
        <f t="shared" si="43"/>
        <v>0.24233147271390498</v>
      </c>
      <c r="R94" s="46">
        <v>1123.42</v>
      </c>
      <c r="S94" s="339" t="s">
        <v>460</v>
      </c>
    </row>
    <row r="95" spans="1:19" ht="23.25" customHeight="1">
      <c r="A95" s="41" t="s">
        <v>485</v>
      </c>
      <c r="B95" s="64" t="s">
        <v>343</v>
      </c>
      <c r="C95" s="42" t="s">
        <v>43</v>
      </c>
      <c r="D95" s="43" t="s">
        <v>40</v>
      </c>
      <c r="E95" s="44">
        <v>264</v>
      </c>
      <c r="F95" s="45">
        <f t="shared" si="41"/>
        <v>50.53</v>
      </c>
      <c r="G95" s="45">
        <f t="shared" si="42"/>
        <v>13339.92</v>
      </c>
      <c r="Q95" s="6">
        <f t="shared" si="43"/>
        <v>0.24233147271390498</v>
      </c>
      <c r="R95" s="46">
        <v>40.68</v>
      </c>
      <c r="S95" s="339" t="s">
        <v>343</v>
      </c>
    </row>
    <row r="96" spans="1:19" ht="23.25" customHeight="1">
      <c r="A96" s="41" t="s">
        <v>491</v>
      </c>
      <c r="B96" s="64" t="s">
        <v>492</v>
      </c>
      <c r="C96" s="42" t="s">
        <v>493</v>
      </c>
      <c r="D96" s="43" t="s">
        <v>40</v>
      </c>
      <c r="E96" s="44">
        <v>0</v>
      </c>
      <c r="F96" s="45">
        <f t="shared" si="41"/>
        <v>115.4</v>
      </c>
      <c r="G96" s="45">
        <f t="shared" ref="G96" si="48">ROUND($E96*F96,2)</f>
        <v>0</v>
      </c>
      <c r="Q96" s="6">
        <f t="shared" si="43"/>
        <v>0.24233147271390498</v>
      </c>
      <c r="R96" s="46">
        <v>92.89</v>
      </c>
      <c r="S96" s="339" t="s">
        <v>492</v>
      </c>
    </row>
    <row r="97" spans="1:19" s="56" customFormat="1" ht="23.25" customHeight="1">
      <c r="A97" s="48" t="str">
        <f>CONCATENATE("TOTAL DO ITEM ",A86," - ",C86)</f>
        <v>TOTAL DO ITEM 5 - SINALIZAÇÃO</v>
      </c>
      <c r="B97" s="75"/>
      <c r="C97" s="66"/>
      <c r="D97" s="67"/>
      <c r="E97" s="67"/>
      <c r="F97" s="68"/>
      <c r="G97" s="313">
        <f>SUM(G87:G96)</f>
        <v>34479.079999999994</v>
      </c>
      <c r="H97" s="54"/>
      <c r="I97" s="54"/>
      <c r="J97" s="54"/>
      <c r="K97" s="54"/>
      <c r="L97" s="54"/>
      <c r="M97" s="54"/>
      <c r="N97" s="54"/>
      <c r="O97" s="54"/>
      <c r="P97" s="54"/>
      <c r="Q97" s="55"/>
      <c r="S97" s="341"/>
    </row>
    <row r="98" spans="1:19" s="77" customFormat="1" ht="23.25" customHeight="1">
      <c r="A98" s="326" t="s">
        <v>486</v>
      </c>
      <c r="B98" s="327"/>
      <c r="C98" s="328"/>
      <c r="D98" s="329"/>
      <c r="E98" s="329"/>
      <c r="F98" s="330"/>
      <c r="G98" s="331">
        <f>G21+G38+G85+G69+G97</f>
        <v>1646805.63</v>
      </c>
      <c r="H98" s="70">
        <f>G98/E18</f>
        <v>336.08278163265305</v>
      </c>
      <c r="I98" s="70" t="s">
        <v>510</v>
      </c>
      <c r="J98" s="70"/>
      <c r="K98" s="70"/>
      <c r="L98" s="70"/>
      <c r="M98" s="70"/>
      <c r="N98" s="70"/>
      <c r="O98" s="70"/>
      <c r="P98" s="70"/>
      <c r="Q98" s="76"/>
      <c r="S98" s="343"/>
    </row>
    <row r="99" spans="1:19" ht="21.95" customHeight="1">
      <c r="E99" s="70"/>
    </row>
    <row r="100" spans="1:19" ht="19.5" customHeight="1"/>
    <row r="101" spans="1:19" ht="21.95" customHeight="1">
      <c r="Q101" s="324">
        <v>5623747.6899999995</v>
      </c>
    </row>
    <row r="102" spans="1:19" ht="24.75" customHeight="1">
      <c r="C102" s="332" t="s">
        <v>408</v>
      </c>
      <c r="E102" s="81" t="s">
        <v>164</v>
      </c>
      <c r="Q102" s="323">
        <f>G98-Q101</f>
        <v>-3976942.0599999996</v>
      </c>
    </row>
    <row r="103" spans="1:19" ht="24.75" customHeight="1">
      <c r="C103" s="82"/>
      <c r="E103" s="81" t="s">
        <v>503</v>
      </c>
    </row>
    <row r="104" spans="1:19" ht="21.95" customHeight="1">
      <c r="Q104" s="324">
        <v>1644534.6099999999</v>
      </c>
    </row>
    <row r="106" spans="1:19" ht="21.95" customHeight="1">
      <c r="H106" s="324"/>
    </row>
    <row r="108" spans="1:19" ht="21.95" customHeight="1">
      <c r="H108" s="324"/>
    </row>
  </sheetData>
  <mergeCells count="9">
    <mergeCell ref="A11:G11"/>
    <mergeCell ref="R13:R14"/>
    <mergeCell ref="A13:A14"/>
    <mergeCell ref="B13:B14"/>
    <mergeCell ref="C13:C14"/>
    <mergeCell ref="D13:D14"/>
    <mergeCell ref="E13:E14"/>
    <mergeCell ref="F13:F14"/>
    <mergeCell ref="G13:G14"/>
  </mergeCells>
  <printOptions horizontalCentered="1"/>
  <pageMargins left="0.31496062992125984" right="0.31496062992125984" top="0.59055118110236227" bottom="0.19685039370078741" header="0.31496062992125984" footer="0.31496062992125984"/>
  <pageSetup paperSize="9" scale="37" orientation="portrait" r:id="rId1"/>
  <headerFooter alignWithMargins="0"/>
  <rowBreaks count="1" manualBreakCount="1">
    <brk id="8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M37"/>
  <sheetViews>
    <sheetView showGridLines="0" view="pageBreakPreview" zoomScale="70" zoomScaleNormal="85" zoomScaleSheetLayoutView="70" workbookViewId="0">
      <selection activeCell="L26" sqref="L26"/>
    </sheetView>
  </sheetViews>
  <sheetFormatPr defaultColWidth="9.140625" defaultRowHeight="15.75"/>
  <cols>
    <col min="1" max="1" width="13.28515625" style="84" customWidth="1"/>
    <col min="2" max="2" width="37.85546875" style="84" customWidth="1"/>
    <col min="3" max="3" width="22.140625" style="84" customWidth="1"/>
    <col min="4" max="4" width="12.28515625" style="111" customWidth="1"/>
    <col min="5" max="5" width="11.28515625" style="111" customWidth="1"/>
    <col min="6" max="6" width="22.28515625" style="84" customWidth="1"/>
    <col min="7" max="7" width="11.28515625" style="111" customWidth="1"/>
    <col min="8" max="8" width="21.5703125" style="114" customWidth="1"/>
    <col min="9" max="9" width="11.28515625" style="111" customWidth="1"/>
    <col min="10" max="10" width="22" style="114" customWidth="1"/>
    <col min="11" max="11" width="11.28515625" style="111" customWidth="1"/>
    <col min="12" max="12" width="22.7109375" style="114" customWidth="1"/>
    <col min="13" max="13" width="4.85546875" style="111" customWidth="1"/>
    <col min="14" max="14" width="21.140625" style="114" hidden="1" customWidth="1"/>
    <col min="15" max="15" width="11.28515625" style="111" hidden="1" customWidth="1"/>
    <col min="16" max="16" width="22.7109375" style="114" hidden="1" customWidth="1"/>
    <col min="17" max="17" width="18.42578125" style="114" customWidth="1"/>
    <col min="18" max="18" width="11.28515625" style="111" customWidth="1"/>
    <col min="19" max="19" width="18.42578125" style="114" customWidth="1"/>
    <col min="20" max="20" width="11.28515625" style="111" customWidth="1"/>
    <col min="21" max="21" width="18.42578125" style="114" customWidth="1"/>
    <col min="22" max="22" width="13.42578125" style="111" bestFit="1" customWidth="1"/>
    <col min="23" max="23" width="18.42578125" style="114" customWidth="1"/>
    <col min="24" max="24" width="11.28515625" style="111" customWidth="1"/>
    <col min="25" max="25" width="18.42578125" style="114" customWidth="1"/>
    <col min="26" max="26" width="11.28515625" style="111" customWidth="1"/>
    <col min="27" max="27" width="18.42578125" style="114" customWidth="1"/>
    <col min="28" max="28" width="11.28515625" style="111" customWidth="1"/>
    <col min="29" max="29" width="18.42578125" style="114" customWidth="1"/>
    <col min="30" max="30" width="11.28515625" style="111" customWidth="1"/>
    <col min="31" max="31" width="18.42578125" style="114" customWidth="1"/>
    <col min="32" max="32" width="11.28515625" style="111" customWidth="1"/>
    <col min="33" max="33" width="18.42578125" style="114" customWidth="1"/>
    <col min="34" max="34" width="11.28515625" style="111" customWidth="1"/>
    <col min="35" max="35" width="18.42578125" style="114" customWidth="1"/>
    <col min="36" max="16384" width="9.140625" style="84"/>
  </cols>
  <sheetData>
    <row r="1" spans="1:35" s="87" customFormat="1">
      <c r="A1" s="12"/>
      <c r="B1" s="83"/>
      <c r="C1" s="84"/>
      <c r="D1" s="84"/>
      <c r="E1" s="85"/>
      <c r="F1" s="86"/>
      <c r="G1" s="85"/>
      <c r="I1" s="85"/>
      <c r="K1" s="85"/>
      <c r="M1" s="85"/>
      <c r="O1" s="85"/>
      <c r="R1" s="85"/>
      <c r="T1" s="85"/>
      <c r="V1" s="85"/>
      <c r="X1" s="85"/>
      <c r="Z1" s="85"/>
      <c r="AB1" s="85"/>
      <c r="AD1" s="85"/>
      <c r="AF1" s="85"/>
      <c r="AH1" s="85"/>
    </row>
    <row r="2" spans="1:35" s="94" customFormat="1" ht="20.25">
      <c r="A2" s="88" t="str">
        <f>'Orçamento '!A2</f>
        <v>PREFEITURA MUNICIPAL DE CRUZEIRO DO SUL - RS</v>
      </c>
      <c r="B2" s="89"/>
      <c r="C2" s="90"/>
      <c r="D2" s="91"/>
      <c r="E2" s="92"/>
      <c r="F2" s="93"/>
      <c r="G2" s="92"/>
      <c r="I2" s="92"/>
      <c r="L2" s="95" t="str">
        <f>'Orçamento '!G2</f>
        <v>Cruzeiro do Sul/RS, Outubro de 2023.</v>
      </c>
      <c r="R2" s="92"/>
      <c r="T2" s="92"/>
      <c r="V2" s="92"/>
      <c r="X2" s="92"/>
      <c r="Z2" s="92"/>
      <c r="AB2" s="92"/>
      <c r="AD2" s="92"/>
      <c r="AF2" s="92"/>
      <c r="AH2" s="92"/>
    </row>
    <row r="3" spans="1:35" s="94" customFormat="1" ht="8.25" customHeight="1">
      <c r="A3" s="88"/>
      <c r="B3" s="96"/>
      <c r="C3" s="90"/>
      <c r="D3" s="91"/>
      <c r="E3" s="92"/>
      <c r="F3" s="93"/>
      <c r="G3" s="92"/>
      <c r="I3" s="92"/>
      <c r="K3" s="92"/>
      <c r="M3" s="92"/>
      <c r="O3" s="92"/>
      <c r="R3" s="92"/>
      <c r="T3" s="92"/>
      <c r="V3" s="92"/>
      <c r="X3" s="92"/>
      <c r="Z3" s="92"/>
      <c r="AB3" s="92"/>
      <c r="AD3" s="92"/>
      <c r="AF3" s="92"/>
      <c r="AH3" s="92"/>
    </row>
    <row r="4" spans="1:35" s="94" customFormat="1" ht="23.25" customHeight="1">
      <c r="A4" s="14" t="str">
        <f>'Orçamento '!A3</f>
        <v>LOCAL:</v>
      </c>
      <c r="B4" s="14" t="str">
        <f>'Orçamento '!B3</f>
        <v>RUA PROFESSOR ALOÍZIO ROMEU SIEBEN - ESTRADA SÃO RAFAEL</v>
      </c>
      <c r="C4" s="90"/>
      <c r="D4" s="91"/>
      <c r="E4" s="92"/>
      <c r="F4" s="93"/>
      <c r="G4" s="92"/>
      <c r="I4" s="92"/>
      <c r="K4" s="92"/>
      <c r="M4" s="92"/>
      <c r="O4" s="92"/>
      <c r="R4" s="92"/>
      <c r="T4" s="92"/>
      <c r="V4" s="92"/>
      <c r="X4" s="92"/>
      <c r="Z4" s="92"/>
      <c r="AB4" s="92"/>
      <c r="AD4" s="92"/>
      <c r="AF4" s="92"/>
      <c r="AH4" s="92"/>
    </row>
    <row r="5" spans="1:35" s="94" customFormat="1" ht="23.25" customHeight="1">
      <c r="A5" s="14" t="str">
        <f>'Orçamento '!A4</f>
        <v xml:space="preserve">TRECHO: </v>
      </c>
      <c r="B5" s="14" t="str">
        <f>'Orçamento '!B4</f>
        <v>ENTRE A RSC-453 SENTIDO AO INTERIOR</v>
      </c>
      <c r="C5" s="90"/>
      <c r="D5" s="91"/>
      <c r="E5" s="92"/>
      <c r="F5" s="93"/>
      <c r="G5" s="92"/>
      <c r="I5" s="92"/>
      <c r="K5" s="92"/>
      <c r="M5" s="92"/>
      <c r="O5" s="92"/>
      <c r="R5" s="92"/>
      <c r="T5" s="92"/>
      <c r="V5" s="92"/>
      <c r="X5" s="92"/>
      <c r="Z5" s="92"/>
      <c r="AB5" s="92"/>
      <c r="AD5" s="92"/>
      <c r="AF5" s="92"/>
      <c r="AH5" s="92"/>
    </row>
    <row r="6" spans="1:35" s="94" customFormat="1" ht="23.25" customHeight="1">
      <c r="A6" s="14" t="str">
        <f>'Orçamento '!A5</f>
        <v>ÁREA:</v>
      </c>
      <c r="B6" s="14" t="str">
        <f>'Orçamento '!B5</f>
        <v>700 m x 7,00 m = 4.900,00 m²</v>
      </c>
      <c r="C6" s="90"/>
      <c r="D6" s="91"/>
      <c r="E6" s="92"/>
      <c r="F6" s="93"/>
      <c r="G6" s="92"/>
      <c r="I6" s="92"/>
      <c r="K6" s="92"/>
      <c r="M6" s="92"/>
      <c r="O6" s="92"/>
      <c r="R6" s="92"/>
      <c r="T6" s="92"/>
      <c r="V6" s="92"/>
      <c r="X6" s="92"/>
      <c r="Z6" s="92"/>
      <c r="AB6" s="92"/>
      <c r="AD6" s="92"/>
      <c r="AF6" s="92"/>
      <c r="AH6" s="92"/>
    </row>
    <row r="7" spans="1:35" s="94" customFormat="1" ht="23.25" customHeight="1">
      <c r="A7" s="97" t="str">
        <f>'Orçamento '!A6</f>
        <v>TOTAL :</v>
      </c>
      <c r="B7" s="14" t="str">
        <f>'Orçamento '!B6</f>
        <v>4.900,00 m²</v>
      </c>
      <c r="C7" s="90"/>
      <c r="D7" s="91"/>
      <c r="E7" s="92"/>
      <c r="F7" s="93"/>
      <c r="G7" s="92"/>
      <c r="I7" s="92"/>
      <c r="K7" s="92"/>
      <c r="M7" s="92"/>
      <c r="O7" s="92"/>
      <c r="R7" s="92"/>
      <c r="T7" s="92"/>
      <c r="V7" s="92"/>
      <c r="X7" s="92"/>
      <c r="Z7" s="92"/>
      <c r="AB7" s="92"/>
      <c r="AD7" s="92"/>
      <c r="AF7" s="92"/>
      <c r="AH7" s="92"/>
    </row>
    <row r="8" spans="1:35" s="94" customFormat="1" ht="23.25" customHeight="1">
      <c r="C8" s="90"/>
      <c r="D8" s="91"/>
      <c r="E8" s="92"/>
      <c r="F8" s="93"/>
      <c r="G8" s="92"/>
      <c r="I8" s="92"/>
      <c r="K8" s="92"/>
      <c r="M8" s="92"/>
      <c r="O8" s="92"/>
      <c r="R8" s="92"/>
      <c r="T8" s="92"/>
      <c r="V8" s="92"/>
      <c r="X8" s="92"/>
      <c r="Z8" s="92"/>
      <c r="AB8" s="92"/>
      <c r="AD8" s="92"/>
      <c r="AF8" s="92"/>
      <c r="AH8" s="92"/>
    </row>
    <row r="9" spans="1:35" s="94" customFormat="1" ht="23.25" customHeight="1">
      <c r="C9" s="90"/>
      <c r="D9" s="91"/>
      <c r="E9" s="92"/>
      <c r="F9" s="93"/>
      <c r="G9" s="92"/>
      <c r="I9" s="92"/>
      <c r="K9" s="92"/>
      <c r="M9" s="92"/>
      <c r="O9" s="92"/>
      <c r="R9" s="92"/>
      <c r="T9" s="92"/>
      <c r="V9" s="92"/>
      <c r="X9" s="92"/>
      <c r="Z9" s="92"/>
      <c r="AB9" s="92"/>
      <c r="AD9" s="92"/>
      <c r="AF9" s="92"/>
      <c r="AH9" s="92"/>
    </row>
    <row r="10" spans="1:35" s="91" customFormat="1" ht="20.25">
      <c r="A10" s="365" t="s">
        <v>400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</row>
    <row r="11" spans="1:3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</row>
    <row r="12" spans="1:35" s="103" customFormat="1" ht="25.5" customHeight="1">
      <c r="A12" s="367" t="s">
        <v>1</v>
      </c>
      <c r="B12" s="373" t="s">
        <v>54</v>
      </c>
      <c r="C12" s="375" t="s">
        <v>55</v>
      </c>
      <c r="D12" s="375" t="s">
        <v>56</v>
      </c>
      <c r="E12" s="376" t="s">
        <v>57</v>
      </c>
      <c r="F12" s="377"/>
      <c r="G12" s="376" t="s">
        <v>58</v>
      </c>
      <c r="H12" s="377"/>
      <c r="I12" s="376" t="s">
        <v>59</v>
      </c>
      <c r="J12" s="377"/>
      <c r="K12" s="376" t="s">
        <v>60</v>
      </c>
      <c r="L12" s="377"/>
      <c r="M12" s="94"/>
      <c r="N12" s="94"/>
      <c r="O12" s="94"/>
      <c r="P12" s="94"/>
      <c r="Q12" s="101"/>
      <c r="R12" s="102"/>
      <c r="S12" s="101"/>
      <c r="T12" s="102"/>
      <c r="U12" s="101"/>
      <c r="V12" s="102"/>
      <c r="W12" s="101"/>
      <c r="X12" s="102"/>
      <c r="Y12" s="101"/>
      <c r="Z12" s="102"/>
      <c r="AA12" s="101"/>
      <c r="AB12" s="102"/>
      <c r="AC12" s="101"/>
      <c r="AD12" s="102"/>
      <c r="AE12" s="101"/>
      <c r="AF12" s="102"/>
      <c r="AG12" s="101"/>
      <c r="AH12" s="102"/>
      <c r="AI12" s="101"/>
    </row>
    <row r="13" spans="1:35" s="103" customFormat="1" ht="25.5" customHeight="1">
      <c r="A13" s="367"/>
      <c r="B13" s="374"/>
      <c r="C13" s="375"/>
      <c r="D13" s="375"/>
      <c r="E13" s="104" t="s">
        <v>61</v>
      </c>
      <c r="F13" s="105" t="s">
        <v>62</v>
      </c>
      <c r="G13" s="104" t="s">
        <v>61</v>
      </c>
      <c r="H13" s="105" t="s">
        <v>62</v>
      </c>
      <c r="I13" s="104" t="s">
        <v>61</v>
      </c>
      <c r="J13" s="105" t="s">
        <v>62</v>
      </c>
      <c r="K13" s="104" t="s">
        <v>61</v>
      </c>
      <c r="L13" s="105" t="s">
        <v>62</v>
      </c>
      <c r="M13" s="94"/>
      <c r="N13" s="94"/>
      <c r="O13" s="94"/>
      <c r="P13" s="94"/>
      <c r="Q13" s="106"/>
      <c r="R13" s="102"/>
      <c r="S13" s="101"/>
      <c r="T13" s="102"/>
      <c r="V13" s="102"/>
      <c r="W13" s="101"/>
      <c r="X13" s="102"/>
      <c r="Y13" s="101"/>
      <c r="Z13" s="102"/>
      <c r="AA13" s="101"/>
      <c r="AB13" s="102"/>
      <c r="AC13" s="101"/>
      <c r="AD13" s="102"/>
      <c r="AE13" s="101"/>
      <c r="AF13" s="102"/>
      <c r="AG13" s="101"/>
      <c r="AH13" s="102"/>
      <c r="AI13" s="101"/>
    </row>
    <row r="14" spans="1:35" ht="25.5" customHeight="1">
      <c r="A14" s="107">
        <v>1</v>
      </c>
      <c r="B14" s="108" t="str">
        <f>VLOOKUP($A14,'Orçamento '!$A$13:$H$95,3,FALSE)</f>
        <v>SERVIÇOS INICIAIS</v>
      </c>
      <c r="C14" s="310">
        <f>'Orçamento '!G21</f>
        <v>105218.08</v>
      </c>
      <c r="D14" s="109">
        <f>C14/$C$19</f>
        <v>6.3892227524143211E-2</v>
      </c>
      <c r="E14" s="110">
        <v>0.25</v>
      </c>
      <c r="F14" s="311">
        <f>($C14*E14)</f>
        <v>26304.52</v>
      </c>
      <c r="G14" s="110">
        <v>0.15</v>
      </c>
      <c r="H14" s="311">
        <f t="shared" ref="H14:L18" si="0">($C14*G14)</f>
        <v>15782.712</v>
      </c>
      <c r="I14" s="110">
        <v>0.15</v>
      </c>
      <c r="J14" s="311">
        <f t="shared" si="0"/>
        <v>15782.712</v>
      </c>
      <c r="K14" s="110">
        <v>0.15</v>
      </c>
      <c r="L14" s="311">
        <f t="shared" ref="L14" si="1">($C14*K14)</f>
        <v>15782.712</v>
      </c>
      <c r="M14" s="94"/>
      <c r="N14" s="94"/>
      <c r="O14" s="94"/>
      <c r="P14" s="94"/>
      <c r="Q14" s="85"/>
      <c r="R14" s="111" t="str">
        <f>IF(SUM(F14,H14,J14,L14,N14,P14,F24,H24,J24,L24)=C14,"OK","Verificar")</f>
        <v>OK</v>
      </c>
      <c r="S14" s="112">
        <f>SUM(F14,H14,J14,L14,N14,P14,F24,H24,J24,L24)-C14</f>
        <v>0</v>
      </c>
      <c r="U14" s="113"/>
    </row>
    <row r="15" spans="1:35" ht="25.5" customHeight="1">
      <c r="A15" s="312">
        <v>2</v>
      </c>
      <c r="B15" s="108" t="str">
        <f>VLOOKUP($A15,'Orçamento '!$A$13:$H$95,3,FALSE)</f>
        <v>TERRAPLENAGEM</v>
      </c>
      <c r="C15" s="310">
        <f>'Orçamento '!G38</f>
        <v>481279.06</v>
      </c>
      <c r="D15" s="109">
        <f>C15/$C$19</f>
        <v>0.29225006960900418</v>
      </c>
      <c r="E15" s="110">
        <v>0.3</v>
      </c>
      <c r="F15" s="311">
        <f t="shared" ref="F15:F18" si="2">($C15*E15)</f>
        <v>144383.71799999999</v>
      </c>
      <c r="G15" s="110">
        <v>0.45</v>
      </c>
      <c r="H15" s="311">
        <f t="shared" si="0"/>
        <v>216575.57699999999</v>
      </c>
      <c r="I15" s="110">
        <v>0.25</v>
      </c>
      <c r="J15" s="311">
        <f t="shared" si="0"/>
        <v>120319.765</v>
      </c>
      <c r="K15" s="110"/>
      <c r="L15" s="311">
        <f t="shared" si="0"/>
        <v>0</v>
      </c>
      <c r="M15" s="94"/>
      <c r="N15" s="94"/>
      <c r="O15" s="94"/>
      <c r="P15" s="94"/>
      <c r="Q15" s="85"/>
      <c r="R15" s="111" t="str">
        <f t="shared" ref="R15:R18" si="3">IF(SUM(F15,H15,J15,L15,N15,P15,F25,H25,J25,L25)=C15,"OK","Verificar")</f>
        <v>OK</v>
      </c>
      <c r="S15" s="112">
        <f t="shared" ref="S15:S18" si="4">SUM(F15,H15,J15,L15,N15,P15,F25,H25,J25,L25)-C15</f>
        <v>0</v>
      </c>
      <c r="U15" s="113"/>
    </row>
    <row r="16" spans="1:35" ht="25.5" customHeight="1">
      <c r="A16" s="107">
        <v>3</v>
      </c>
      <c r="B16" s="108" t="str">
        <f>VLOOKUP($A16,'Orçamento '!$A$13:$H$95,3,FALSE)</f>
        <v>DRENAGEM</v>
      </c>
      <c r="C16" s="310">
        <f>'Orçamento '!G69</f>
        <v>123039.75</v>
      </c>
      <c r="D16" s="109">
        <f>C16/$C$19</f>
        <v>7.4714190769435251E-2</v>
      </c>
      <c r="E16" s="110"/>
      <c r="F16" s="311">
        <f t="shared" si="2"/>
        <v>0</v>
      </c>
      <c r="G16" s="110"/>
      <c r="H16" s="311">
        <f t="shared" si="0"/>
        <v>0</v>
      </c>
      <c r="I16" s="110">
        <v>0.2</v>
      </c>
      <c r="J16" s="311">
        <f t="shared" si="0"/>
        <v>24607.95</v>
      </c>
      <c r="K16" s="110">
        <v>0.3</v>
      </c>
      <c r="L16" s="311">
        <f t="shared" si="0"/>
        <v>36911.924999999996</v>
      </c>
      <c r="M16" s="94"/>
      <c r="N16" s="94"/>
      <c r="O16" s="94"/>
      <c r="P16" s="94"/>
      <c r="Q16" s="85"/>
      <c r="R16" s="111" t="str">
        <f t="shared" si="3"/>
        <v>OK</v>
      </c>
      <c r="S16" s="112">
        <f t="shared" si="4"/>
        <v>0</v>
      </c>
      <c r="U16" s="113"/>
    </row>
    <row r="17" spans="1:39" ht="25.5" customHeight="1">
      <c r="A17" s="107">
        <v>4</v>
      </c>
      <c r="B17" s="108" t="str">
        <f>VLOOKUP($A17,'Orçamento '!$A$13:$H$95,3,FALSE)</f>
        <v>PAVIMENTAÇÃO</v>
      </c>
      <c r="C17" s="310">
        <f>'Orçamento '!G85</f>
        <v>902789.65999999992</v>
      </c>
      <c r="D17" s="109">
        <f>C17/$C$19</f>
        <v>0.54820656643006493</v>
      </c>
      <c r="E17" s="110"/>
      <c r="F17" s="311">
        <f t="shared" si="2"/>
        <v>0</v>
      </c>
      <c r="G17" s="110"/>
      <c r="H17" s="311">
        <f t="shared" si="0"/>
        <v>0</v>
      </c>
      <c r="I17" s="110">
        <v>0.15</v>
      </c>
      <c r="J17" s="311">
        <f t="shared" si="0"/>
        <v>135418.44899999999</v>
      </c>
      <c r="K17" s="110">
        <v>0.3</v>
      </c>
      <c r="L17" s="311">
        <f t="shared" si="0"/>
        <v>270836.89799999999</v>
      </c>
      <c r="M17" s="94"/>
      <c r="N17" s="94"/>
      <c r="O17" s="94"/>
      <c r="P17" s="94"/>
      <c r="Q17" s="85"/>
      <c r="R17" s="111" t="str">
        <f t="shared" si="3"/>
        <v>OK</v>
      </c>
      <c r="S17" s="112">
        <f t="shared" si="4"/>
        <v>0</v>
      </c>
      <c r="U17" s="113"/>
    </row>
    <row r="18" spans="1:39" ht="25.5" customHeight="1">
      <c r="A18" s="312">
        <v>5</v>
      </c>
      <c r="B18" s="108" t="str">
        <f>VLOOKUP($A18,'Orçamento '!$A$13:$H$95,3,FALSE)</f>
        <v>SINALIZAÇÃO</v>
      </c>
      <c r="C18" s="310">
        <f>'Orçamento '!G97</f>
        <v>34479.079999999994</v>
      </c>
      <c r="D18" s="109">
        <f>C18/$C$19</f>
        <v>2.0936945667352373E-2</v>
      </c>
      <c r="E18" s="110"/>
      <c r="F18" s="311">
        <f t="shared" si="2"/>
        <v>0</v>
      </c>
      <c r="G18" s="110"/>
      <c r="H18" s="311">
        <f t="shared" si="0"/>
        <v>0</v>
      </c>
      <c r="I18" s="110"/>
      <c r="J18" s="311">
        <f t="shared" si="0"/>
        <v>0</v>
      </c>
      <c r="K18" s="110"/>
      <c r="L18" s="311">
        <f t="shared" si="0"/>
        <v>0</v>
      </c>
      <c r="M18" s="94"/>
      <c r="N18" s="94"/>
      <c r="O18" s="94"/>
      <c r="P18" s="94"/>
      <c r="Q18" s="85"/>
      <c r="R18" s="111" t="str">
        <f t="shared" si="3"/>
        <v>OK</v>
      </c>
      <c r="S18" s="112">
        <f t="shared" si="4"/>
        <v>0</v>
      </c>
      <c r="U18" s="115"/>
    </row>
    <row r="19" spans="1:39" ht="25.5" customHeight="1">
      <c r="A19" s="367" t="s">
        <v>63</v>
      </c>
      <c r="B19" s="368"/>
      <c r="C19" s="369">
        <f>SUM(C14:C18)</f>
        <v>1646805.63</v>
      </c>
      <c r="D19" s="371">
        <f>SUM(D14:D18)</f>
        <v>0.99999999999999989</v>
      </c>
      <c r="E19" s="116">
        <f>F19/$C19</f>
        <v>0.10364807776373705</v>
      </c>
      <c r="F19" s="117">
        <f>SUM(F14:F18)</f>
        <v>170688.23799999998</v>
      </c>
      <c r="G19" s="116">
        <f>H19/$C19</f>
        <v>0.14109636545267337</v>
      </c>
      <c r="H19" s="117">
        <f>SUM(H14:H18)</f>
        <v>232358.28899999999</v>
      </c>
      <c r="I19" s="116">
        <f>J19/$C19</f>
        <v>0.17982017464926936</v>
      </c>
      <c r="J19" s="117">
        <f>SUM(J14:J18)</f>
        <v>296128.87600000005</v>
      </c>
      <c r="K19" s="116">
        <f>L19/$C19</f>
        <v>0.19646006128847154</v>
      </c>
      <c r="L19" s="117">
        <f>SUM(L14:L18)</f>
        <v>323531.53499999997</v>
      </c>
      <c r="M19" s="94"/>
      <c r="N19" s="94"/>
      <c r="O19" s="94"/>
      <c r="P19" s="94"/>
      <c r="U19" s="113"/>
      <c r="AM19" s="84" t="s">
        <v>64</v>
      </c>
    </row>
    <row r="20" spans="1:39" ht="25.5" customHeight="1">
      <c r="A20" s="367" t="s">
        <v>65</v>
      </c>
      <c r="B20" s="368"/>
      <c r="C20" s="370"/>
      <c r="D20" s="372">
        <f>C20/$C$19</f>
        <v>0</v>
      </c>
      <c r="E20" s="116">
        <f>E19</f>
        <v>0.10364807776373705</v>
      </c>
      <c r="F20" s="118">
        <f>F19</f>
        <v>170688.23799999998</v>
      </c>
      <c r="G20" s="116">
        <f>E20+G19</f>
        <v>0.24474444321641042</v>
      </c>
      <c r="H20" s="118">
        <f>H19+F20</f>
        <v>403046.527</v>
      </c>
      <c r="I20" s="116">
        <f>G20+I19</f>
        <v>0.42456461786567978</v>
      </c>
      <c r="J20" s="118">
        <f>J19+H20</f>
        <v>699175.40300000005</v>
      </c>
      <c r="K20" s="116">
        <f>I20+K19</f>
        <v>0.62102467915415138</v>
      </c>
      <c r="L20" s="118">
        <f>L19+J20</f>
        <v>1022706.9380000001</v>
      </c>
      <c r="M20" s="94"/>
      <c r="N20" s="94"/>
      <c r="O20" s="94"/>
      <c r="P20" s="94"/>
      <c r="U20" s="113"/>
    </row>
    <row r="21" spans="1:39">
      <c r="F21" s="119"/>
      <c r="H21" s="84"/>
      <c r="J21" s="119"/>
      <c r="L21" s="84"/>
      <c r="N21" s="84"/>
      <c r="P21" s="84"/>
    </row>
    <row r="22" spans="1:39" s="103" customFormat="1" ht="25.5" customHeight="1">
      <c r="A22" s="367" t="s">
        <v>1</v>
      </c>
      <c r="B22" s="373" t="s">
        <v>54</v>
      </c>
      <c r="C22" s="375" t="s">
        <v>55</v>
      </c>
      <c r="D22" s="375" t="s">
        <v>56</v>
      </c>
      <c r="E22" s="376" t="s">
        <v>366</v>
      </c>
      <c r="F22" s="377"/>
      <c r="G22" s="376" t="s">
        <v>383</v>
      </c>
      <c r="H22" s="377"/>
      <c r="I22" s="125"/>
      <c r="J22" s="125"/>
      <c r="K22" s="125"/>
      <c r="L22" s="125"/>
      <c r="M22" s="366"/>
      <c r="N22" s="366"/>
      <c r="O22" s="366"/>
      <c r="P22" s="366"/>
      <c r="Q22" s="101"/>
      <c r="R22" s="102"/>
      <c r="S22" s="101"/>
      <c r="T22" s="102"/>
      <c r="U22" s="101"/>
      <c r="V22" s="102"/>
      <c r="W22" s="101"/>
      <c r="X22" s="102"/>
      <c r="Y22" s="101"/>
      <c r="Z22" s="102"/>
      <c r="AA22" s="101"/>
      <c r="AB22" s="102"/>
      <c r="AC22" s="101"/>
      <c r="AD22" s="102"/>
      <c r="AE22" s="101"/>
      <c r="AF22" s="102"/>
      <c r="AG22" s="101"/>
      <c r="AH22" s="102"/>
      <c r="AI22" s="101"/>
    </row>
    <row r="23" spans="1:39" s="103" customFormat="1" ht="25.5" customHeight="1">
      <c r="A23" s="367"/>
      <c r="B23" s="374"/>
      <c r="C23" s="375"/>
      <c r="D23" s="375"/>
      <c r="E23" s="104" t="s">
        <v>61</v>
      </c>
      <c r="F23" s="105" t="s">
        <v>62</v>
      </c>
      <c r="G23" s="104" t="s">
        <v>61</v>
      </c>
      <c r="H23" s="105" t="s">
        <v>62</v>
      </c>
      <c r="I23" s="125"/>
      <c r="J23" s="125"/>
      <c r="K23" s="125"/>
      <c r="L23" s="125"/>
      <c r="M23" s="120"/>
      <c r="N23" s="121"/>
      <c r="O23" s="120"/>
      <c r="P23" s="121"/>
      <c r="Q23" s="106"/>
      <c r="R23" s="102"/>
      <c r="S23" s="101"/>
      <c r="T23" s="102"/>
      <c r="V23" s="102"/>
      <c r="W23" s="101"/>
      <c r="X23" s="102"/>
      <c r="Y23" s="101"/>
      <c r="Z23" s="102"/>
      <c r="AA23" s="101"/>
      <c r="AB23" s="102"/>
      <c r="AC23" s="101"/>
      <c r="AD23" s="102"/>
      <c r="AE23" s="101"/>
      <c r="AF23" s="102"/>
      <c r="AG23" s="101"/>
      <c r="AH23" s="102"/>
      <c r="AI23" s="101"/>
    </row>
    <row r="24" spans="1:39" ht="25.5" customHeight="1">
      <c r="A24" s="107">
        <v>1</v>
      </c>
      <c r="B24" s="108" t="str">
        <f>VLOOKUP($A24,'Orçamento '!$A$13:$H$95,3,FALSE)</f>
        <v>SERVIÇOS INICIAIS</v>
      </c>
      <c r="C24" s="310">
        <f>C14</f>
        <v>105218.08</v>
      </c>
      <c r="D24" s="109">
        <f>C24/$C$19</f>
        <v>6.3892227524143211E-2</v>
      </c>
      <c r="E24" s="110">
        <v>0.15</v>
      </c>
      <c r="F24" s="311">
        <f>($C24*E24)</f>
        <v>15782.712</v>
      </c>
      <c r="G24" s="110">
        <v>0.15</v>
      </c>
      <c r="H24" s="311">
        <f t="shared" ref="H24:H28" si="5">($C24*G24)</f>
        <v>15782.712</v>
      </c>
      <c r="I24" s="125"/>
      <c r="J24" s="125"/>
      <c r="K24" s="125"/>
      <c r="L24" s="125"/>
      <c r="M24" s="122"/>
      <c r="N24" s="123"/>
      <c r="O24" s="122"/>
      <c r="P24" s="123"/>
      <c r="Q24" s="85"/>
      <c r="S24" s="112"/>
      <c r="U24" s="113"/>
    </row>
    <row r="25" spans="1:39" ht="25.5" customHeight="1">
      <c r="A25" s="312">
        <v>2</v>
      </c>
      <c r="B25" s="108" t="str">
        <f>VLOOKUP($A25,'Orçamento '!$A$13:$H$95,3,FALSE)</f>
        <v>TERRAPLENAGEM</v>
      </c>
      <c r="C25" s="310">
        <f t="shared" ref="C25:C28" si="6">C15</f>
        <v>481279.06</v>
      </c>
      <c r="D25" s="109">
        <f>C25/$C$19</f>
        <v>0.29225006960900418</v>
      </c>
      <c r="E25" s="110"/>
      <c r="F25" s="311">
        <f t="shared" ref="F25:F28" si="7">($C25*E25)</f>
        <v>0</v>
      </c>
      <c r="G25" s="110"/>
      <c r="H25" s="311">
        <f t="shared" si="5"/>
        <v>0</v>
      </c>
      <c r="I25" s="125"/>
      <c r="J25" s="125"/>
      <c r="K25" s="125"/>
      <c r="L25" s="125"/>
      <c r="M25" s="122"/>
      <c r="N25" s="123"/>
      <c r="O25" s="122"/>
      <c r="P25" s="123"/>
      <c r="Q25" s="85"/>
      <c r="S25" s="112"/>
      <c r="U25" s="113"/>
    </row>
    <row r="26" spans="1:39" ht="25.5" customHeight="1">
      <c r="A26" s="107">
        <v>3</v>
      </c>
      <c r="B26" s="108" t="str">
        <f>VLOOKUP($A26,'Orçamento '!$A$13:$H$95,3,FALSE)</f>
        <v>DRENAGEM</v>
      </c>
      <c r="C26" s="310">
        <f t="shared" si="6"/>
        <v>123039.75</v>
      </c>
      <c r="D26" s="109">
        <f>C26/$C$19</f>
        <v>7.4714190769435251E-2</v>
      </c>
      <c r="E26" s="110">
        <v>0.45</v>
      </c>
      <c r="F26" s="311">
        <f t="shared" si="7"/>
        <v>55367.887500000004</v>
      </c>
      <c r="G26" s="110">
        <v>0.05</v>
      </c>
      <c r="H26" s="311">
        <f t="shared" si="5"/>
        <v>6151.9875000000002</v>
      </c>
      <c r="I26" s="125"/>
      <c r="J26" s="125"/>
      <c r="K26" s="125"/>
      <c r="L26" s="125"/>
      <c r="M26" s="122"/>
      <c r="N26" s="123"/>
      <c r="O26" s="122"/>
      <c r="P26" s="123"/>
      <c r="Q26" s="85"/>
      <c r="S26" s="112"/>
      <c r="U26" s="113"/>
    </row>
    <row r="27" spans="1:39" ht="25.5" customHeight="1">
      <c r="A27" s="107">
        <v>4</v>
      </c>
      <c r="B27" s="108" t="str">
        <f>VLOOKUP($A27,'Orçamento '!$A$13:$H$95,3,FALSE)</f>
        <v>PAVIMENTAÇÃO</v>
      </c>
      <c r="C27" s="310">
        <f t="shared" si="6"/>
        <v>902789.65999999992</v>
      </c>
      <c r="D27" s="109">
        <f>C27/$C$19</f>
        <v>0.54820656643006493</v>
      </c>
      <c r="E27" s="110">
        <v>0.4</v>
      </c>
      <c r="F27" s="311">
        <f t="shared" si="7"/>
        <v>361115.864</v>
      </c>
      <c r="G27" s="110">
        <v>0.15</v>
      </c>
      <c r="H27" s="311">
        <f t="shared" si="5"/>
        <v>135418.44899999999</v>
      </c>
      <c r="I27" s="125"/>
      <c r="J27" s="125"/>
      <c r="K27" s="125"/>
      <c r="L27" s="125"/>
      <c r="M27" s="122"/>
      <c r="N27" s="123"/>
      <c r="O27" s="122"/>
      <c r="P27" s="123"/>
      <c r="Q27" s="85"/>
      <c r="S27" s="112"/>
      <c r="U27" s="113"/>
    </row>
    <row r="28" spans="1:39" ht="25.5" customHeight="1">
      <c r="A28" s="312">
        <v>5</v>
      </c>
      <c r="B28" s="108" t="str">
        <f>VLOOKUP($A28,'Orçamento '!$A$13:$H$95,3,FALSE)</f>
        <v>SINALIZAÇÃO</v>
      </c>
      <c r="C28" s="310">
        <f t="shared" si="6"/>
        <v>34479.079999999994</v>
      </c>
      <c r="D28" s="109">
        <f>C28/$C$19</f>
        <v>2.0936945667352373E-2</v>
      </c>
      <c r="E28" s="110">
        <v>0.25</v>
      </c>
      <c r="F28" s="311">
        <f t="shared" si="7"/>
        <v>8619.7699999999986</v>
      </c>
      <c r="G28" s="110">
        <v>0.75</v>
      </c>
      <c r="H28" s="311">
        <f t="shared" si="5"/>
        <v>25859.309999999998</v>
      </c>
      <c r="I28" s="125"/>
      <c r="J28" s="125"/>
      <c r="K28" s="125"/>
      <c r="L28" s="125"/>
      <c r="M28" s="122"/>
      <c r="N28" s="123"/>
      <c r="O28" s="122"/>
      <c r="P28" s="123"/>
      <c r="Q28" s="85"/>
      <c r="S28" s="112"/>
      <c r="U28" s="115"/>
    </row>
    <row r="29" spans="1:39" ht="25.5" customHeight="1">
      <c r="A29" s="367" t="s">
        <v>63</v>
      </c>
      <c r="B29" s="368"/>
      <c r="C29" s="369">
        <f>SUM(C24:C28)</f>
        <v>1646805.63</v>
      </c>
      <c r="D29" s="371">
        <f>SUM(D24:D28)</f>
        <v>0.99999999999999989</v>
      </c>
      <c r="E29" s="116">
        <f>F29/$C29</f>
        <v>0.26772208296373146</v>
      </c>
      <c r="F29" s="117">
        <f>SUM(F24:F28)</f>
        <v>440886.23350000003</v>
      </c>
      <c r="G29" s="116">
        <f>H29/$C29</f>
        <v>0.11125323788211727</v>
      </c>
      <c r="H29" s="117">
        <f>SUM(H24:H28)</f>
        <v>183212.45849999998</v>
      </c>
      <c r="I29" s="125"/>
      <c r="J29" s="125"/>
      <c r="K29" s="125"/>
      <c r="L29" s="125"/>
      <c r="M29" s="122"/>
      <c r="N29" s="124"/>
      <c r="O29" s="122"/>
      <c r="P29" s="124"/>
      <c r="U29" s="113"/>
      <c r="AM29" s="84" t="s">
        <v>64</v>
      </c>
    </row>
    <row r="30" spans="1:39" ht="25.5" customHeight="1">
      <c r="A30" s="367" t="s">
        <v>65</v>
      </c>
      <c r="B30" s="368"/>
      <c r="C30" s="370"/>
      <c r="D30" s="372">
        <f>C30/$C$19</f>
        <v>0</v>
      </c>
      <c r="E30" s="116">
        <f>K20+E29</f>
        <v>0.88874676211788284</v>
      </c>
      <c r="F30" s="118">
        <f>L20+F29</f>
        <v>1463593.1715000002</v>
      </c>
      <c r="G30" s="116">
        <f>E30+G29</f>
        <v>1</v>
      </c>
      <c r="H30" s="118">
        <f>H29+F30</f>
        <v>1646805.6300000001</v>
      </c>
      <c r="I30" s="125"/>
      <c r="J30" s="125"/>
      <c r="K30" s="125"/>
      <c r="L30" s="125"/>
      <c r="M30" s="122"/>
      <c r="N30" s="124"/>
      <c r="O30" s="122"/>
      <c r="P30" s="124"/>
      <c r="U30" s="113"/>
    </row>
    <row r="31" spans="1:39">
      <c r="F31" s="119"/>
      <c r="H31" s="84"/>
      <c r="J31" s="119"/>
      <c r="L31" s="84"/>
      <c r="N31" s="84"/>
      <c r="P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>
      <c r="A32" s="125"/>
      <c r="B32" s="125"/>
      <c r="C32" s="125"/>
      <c r="D32" s="125"/>
      <c r="E32" s="81"/>
      <c r="G32" s="125"/>
      <c r="H32" s="125"/>
      <c r="I32" s="125"/>
      <c r="J32" s="84"/>
      <c r="K32" s="81"/>
      <c r="L32" s="125"/>
      <c r="M32" s="81"/>
      <c r="N32" s="125"/>
      <c r="O32" s="81"/>
      <c r="P32" s="125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5">
      <c r="A33" s="125"/>
      <c r="B33" s="125"/>
      <c r="C33" s="125"/>
      <c r="D33" s="125"/>
      <c r="E33" s="81"/>
      <c r="G33" s="125"/>
      <c r="H33" s="125"/>
      <c r="I33" s="125"/>
      <c r="J33" s="84"/>
      <c r="K33" s="81"/>
      <c r="L33" s="125"/>
      <c r="M33" s="81"/>
      <c r="N33" s="125"/>
      <c r="O33" s="81"/>
      <c r="P33" s="125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5" ht="5.25" customHeight="1"/>
    <row r="35" spans="1:35" ht="18" customHeight="1"/>
    <row r="36" spans="1:35" ht="18" customHeight="1">
      <c r="C36" s="99" t="str">
        <f>'Orçamento '!C102</f>
        <v>RESPONSÁVEL TÉCNICO</v>
      </c>
      <c r="E36" s="84"/>
      <c r="J36" s="120" t="str">
        <f>'Orçamento '!E102</f>
        <v>PREFEITURA MUNICIPAL</v>
      </c>
      <c r="L36" s="84"/>
    </row>
    <row r="37" spans="1:35">
      <c r="E37" s="99"/>
      <c r="J37" s="120" t="str">
        <f>'Orçamento '!E103</f>
        <v>CRUZEIRO DO SUL/RS</v>
      </c>
      <c r="L37" s="84"/>
    </row>
  </sheetData>
  <mergeCells count="25">
    <mergeCell ref="M22:N22"/>
    <mergeCell ref="A29:B29"/>
    <mergeCell ref="C29:C30"/>
    <mergeCell ref="D29:D30"/>
    <mergeCell ref="A30:B30"/>
    <mergeCell ref="A22:A23"/>
    <mergeCell ref="B22:B23"/>
    <mergeCell ref="C22:C23"/>
    <mergeCell ref="D22:D23"/>
    <mergeCell ref="A10:M10"/>
    <mergeCell ref="O22:P22"/>
    <mergeCell ref="A19:B19"/>
    <mergeCell ref="C19:C20"/>
    <mergeCell ref="D19:D20"/>
    <mergeCell ref="A20:B20"/>
    <mergeCell ref="A12:A13"/>
    <mergeCell ref="B12:B13"/>
    <mergeCell ref="C12:C13"/>
    <mergeCell ref="D12:D13"/>
    <mergeCell ref="E12:F12"/>
    <mergeCell ref="G12:H12"/>
    <mergeCell ref="I12:J12"/>
    <mergeCell ref="K12:L12"/>
    <mergeCell ref="E22:F22"/>
    <mergeCell ref="G22:H22"/>
  </mergeCells>
  <conditionalFormatting sqref="E13 D12:E12">
    <cfRule type="cellIs" dxfId="143" priority="24" stopIfTrue="1" operator="lessThan">
      <formula>0</formula>
    </cfRule>
  </conditionalFormatting>
  <conditionalFormatting sqref="I12:I13">
    <cfRule type="cellIs" dxfId="142" priority="22" stopIfTrue="1" operator="lessThan">
      <formula>0</formula>
    </cfRule>
  </conditionalFormatting>
  <conditionalFormatting sqref="G12:G13">
    <cfRule type="cellIs" dxfId="141" priority="23" stopIfTrue="1" operator="lessThan">
      <formula>0</formula>
    </cfRule>
  </conditionalFormatting>
  <conditionalFormatting sqref="K12:K13">
    <cfRule type="cellIs" dxfId="140" priority="21" stopIfTrue="1" operator="lessThan">
      <formula>0</formula>
    </cfRule>
  </conditionalFormatting>
  <conditionalFormatting sqref="E23 D22">
    <cfRule type="cellIs" dxfId="139" priority="10" stopIfTrue="1" operator="lessThan">
      <formula>0</formula>
    </cfRule>
  </conditionalFormatting>
  <conditionalFormatting sqref="G23">
    <cfRule type="cellIs" dxfId="138" priority="9" stopIfTrue="1" operator="lessThan">
      <formula>0</formula>
    </cfRule>
  </conditionalFormatting>
  <conditionalFormatting sqref="M22:M23">
    <cfRule type="cellIs" dxfId="137" priority="6" stopIfTrue="1" operator="lessThan">
      <formula>0</formula>
    </cfRule>
  </conditionalFormatting>
  <conditionalFormatting sqref="O22:O23">
    <cfRule type="cellIs" dxfId="136" priority="5" stopIfTrue="1" operator="lessThan">
      <formula>0</formula>
    </cfRule>
  </conditionalFormatting>
  <conditionalFormatting sqref="E22">
    <cfRule type="cellIs" dxfId="135" priority="2" stopIfTrue="1" operator="lessThan">
      <formula>0</formula>
    </cfRule>
  </conditionalFormatting>
  <conditionalFormatting sqref="G22">
    <cfRule type="cellIs" dxfId="134" priority="1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N37"/>
  <sheetViews>
    <sheetView showGridLines="0" view="pageBreakPreview" zoomScale="85" zoomScaleNormal="100" zoomScaleSheetLayoutView="85" workbookViewId="0">
      <selection activeCell="I12" sqref="I12"/>
    </sheetView>
  </sheetViews>
  <sheetFormatPr defaultRowHeight="15.75"/>
  <cols>
    <col min="1" max="1" width="15.5703125" style="168" customWidth="1"/>
    <col min="2" max="2" width="44.85546875" style="169" bestFit="1" customWidth="1"/>
    <col min="3" max="5" width="15.5703125" style="129" customWidth="1"/>
    <col min="6" max="6" width="19.42578125" style="129" customWidth="1"/>
    <col min="7" max="7" width="15.5703125" style="129" customWidth="1"/>
    <col min="8" max="255" width="9.140625" style="129"/>
    <col min="256" max="256" width="12.42578125" style="129" customWidth="1"/>
    <col min="257" max="257" width="41.85546875" style="129" customWidth="1"/>
    <col min="258" max="258" width="22.5703125" style="129" customWidth="1"/>
    <col min="259" max="259" width="23.7109375" style="129" customWidth="1"/>
    <col min="260" max="260" width="20.7109375" style="129" customWidth="1"/>
    <col min="261" max="261" width="0" style="129" hidden="1" customWidth="1"/>
    <col min="262" max="262" width="22" style="129" customWidth="1"/>
    <col min="263" max="263" width="15.5703125" style="129" customWidth="1"/>
    <col min="264" max="511" width="9.140625" style="129"/>
    <col min="512" max="512" width="12.42578125" style="129" customWidth="1"/>
    <col min="513" max="513" width="41.85546875" style="129" customWidth="1"/>
    <col min="514" max="514" width="22.5703125" style="129" customWidth="1"/>
    <col min="515" max="515" width="23.7109375" style="129" customWidth="1"/>
    <col min="516" max="516" width="20.7109375" style="129" customWidth="1"/>
    <col min="517" max="517" width="0" style="129" hidden="1" customWidth="1"/>
    <col min="518" max="518" width="22" style="129" customWidth="1"/>
    <col min="519" max="519" width="15.5703125" style="129" customWidth="1"/>
    <col min="520" max="767" width="9.140625" style="129"/>
    <col min="768" max="768" width="12.42578125" style="129" customWidth="1"/>
    <col min="769" max="769" width="41.85546875" style="129" customWidth="1"/>
    <col min="770" max="770" width="22.5703125" style="129" customWidth="1"/>
    <col min="771" max="771" width="23.7109375" style="129" customWidth="1"/>
    <col min="772" max="772" width="20.7109375" style="129" customWidth="1"/>
    <col min="773" max="773" width="0" style="129" hidden="1" customWidth="1"/>
    <col min="774" max="774" width="22" style="129" customWidth="1"/>
    <col min="775" max="775" width="15.5703125" style="129" customWidth="1"/>
    <col min="776" max="1023" width="9.140625" style="129"/>
    <col min="1024" max="1024" width="12.42578125" style="129" customWidth="1"/>
    <col min="1025" max="1025" width="41.85546875" style="129" customWidth="1"/>
    <col min="1026" max="1026" width="22.5703125" style="129" customWidth="1"/>
    <col min="1027" max="1027" width="23.7109375" style="129" customWidth="1"/>
    <col min="1028" max="1028" width="20.7109375" style="129" customWidth="1"/>
    <col min="1029" max="1029" width="0" style="129" hidden="1" customWidth="1"/>
    <col min="1030" max="1030" width="22" style="129" customWidth="1"/>
    <col min="1031" max="1031" width="15.5703125" style="129" customWidth="1"/>
    <col min="1032" max="1279" width="9.140625" style="129"/>
    <col min="1280" max="1280" width="12.42578125" style="129" customWidth="1"/>
    <col min="1281" max="1281" width="41.85546875" style="129" customWidth="1"/>
    <col min="1282" max="1282" width="22.5703125" style="129" customWidth="1"/>
    <col min="1283" max="1283" width="23.7109375" style="129" customWidth="1"/>
    <col min="1284" max="1284" width="20.7109375" style="129" customWidth="1"/>
    <col min="1285" max="1285" width="0" style="129" hidden="1" customWidth="1"/>
    <col min="1286" max="1286" width="22" style="129" customWidth="1"/>
    <col min="1287" max="1287" width="15.5703125" style="129" customWidth="1"/>
    <col min="1288" max="1535" width="9.140625" style="129"/>
    <col min="1536" max="1536" width="12.42578125" style="129" customWidth="1"/>
    <col min="1537" max="1537" width="41.85546875" style="129" customWidth="1"/>
    <col min="1538" max="1538" width="22.5703125" style="129" customWidth="1"/>
    <col min="1539" max="1539" width="23.7109375" style="129" customWidth="1"/>
    <col min="1540" max="1540" width="20.7109375" style="129" customWidth="1"/>
    <col min="1541" max="1541" width="0" style="129" hidden="1" customWidth="1"/>
    <col min="1542" max="1542" width="22" style="129" customWidth="1"/>
    <col min="1543" max="1543" width="15.5703125" style="129" customWidth="1"/>
    <col min="1544" max="1791" width="9.140625" style="129"/>
    <col min="1792" max="1792" width="12.42578125" style="129" customWidth="1"/>
    <col min="1793" max="1793" width="41.85546875" style="129" customWidth="1"/>
    <col min="1794" max="1794" width="22.5703125" style="129" customWidth="1"/>
    <col min="1795" max="1795" width="23.7109375" style="129" customWidth="1"/>
    <col min="1796" max="1796" width="20.7109375" style="129" customWidth="1"/>
    <col min="1797" max="1797" width="0" style="129" hidden="1" customWidth="1"/>
    <col min="1798" max="1798" width="22" style="129" customWidth="1"/>
    <col min="1799" max="1799" width="15.5703125" style="129" customWidth="1"/>
    <col min="1800" max="2047" width="9.140625" style="129"/>
    <col min="2048" max="2048" width="12.42578125" style="129" customWidth="1"/>
    <col min="2049" max="2049" width="41.85546875" style="129" customWidth="1"/>
    <col min="2050" max="2050" width="22.5703125" style="129" customWidth="1"/>
    <col min="2051" max="2051" width="23.7109375" style="129" customWidth="1"/>
    <col min="2052" max="2052" width="20.7109375" style="129" customWidth="1"/>
    <col min="2053" max="2053" width="0" style="129" hidden="1" customWidth="1"/>
    <col min="2054" max="2054" width="22" style="129" customWidth="1"/>
    <col min="2055" max="2055" width="15.5703125" style="129" customWidth="1"/>
    <col min="2056" max="2303" width="9.140625" style="129"/>
    <col min="2304" max="2304" width="12.42578125" style="129" customWidth="1"/>
    <col min="2305" max="2305" width="41.85546875" style="129" customWidth="1"/>
    <col min="2306" max="2306" width="22.5703125" style="129" customWidth="1"/>
    <col min="2307" max="2307" width="23.7109375" style="129" customWidth="1"/>
    <col min="2308" max="2308" width="20.7109375" style="129" customWidth="1"/>
    <col min="2309" max="2309" width="0" style="129" hidden="1" customWidth="1"/>
    <col min="2310" max="2310" width="22" style="129" customWidth="1"/>
    <col min="2311" max="2311" width="15.5703125" style="129" customWidth="1"/>
    <col min="2312" max="2559" width="9.140625" style="129"/>
    <col min="2560" max="2560" width="12.42578125" style="129" customWidth="1"/>
    <col min="2561" max="2561" width="41.85546875" style="129" customWidth="1"/>
    <col min="2562" max="2562" width="22.5703125" style="129" customWidth="1"/>
    <col min="2563" max="2563" width="23.7109375" style="129" customWidth="1"/>
    <col min="2564" max="2564" width="20.7109375" style="129" customWidth="1"/>
    <col min="2565" max="2565" width="0" style="129" hidden="1" customWidth="1"/>
    <col min="2566" max="2566" width="22" style="129" customWidth="1"/>
    <col min="2567" max="2567" width="15.5703125" style="129" customWidth="1"/>
    <col min="2568" max="2815" width="9.140625" style="129"/>
    <col min="2816" max="2816" width="12.42578125" style="129" customWidth="1"/>
    <col min="2817" max="2817" width="41.85546875" style="129" customWidth="1"/>
    <col min="2818" max="2818" width="22.5703125" style="129" customWidth="1"/>
    <col min="2819" max="2819" width="23.7109375" style="129" customWidth="1"/>
    <col min="2820" max="2820" width="20.7109375" style="129" customWidth="1"/>
    <col min="2821" max="2821" width="0" style="129" hidden="1" customWidth="1"/>
    <col min="2822" max="2822" width="22" style="129" customWidth="1"/>
    <col min="2823" max="2823" width="15.5703125" style="129" customWidth="1"/>
    <col min="2824" max="3071" width="9.140625" style="129"/>
    <col min="3072" max="3072" width="12.42578125" style="129" customWidth="1"/>
    <col min="3073" max="3073" width="41.85546875" style="129" customWidth="1"/>
    <col min="3074" max="3074" width="22.5703125" style="129" customWidth="1"/>
    <col min="3075" max="3075" width="23.7109375" style="129" customWidth="1"/>
    <col min="3076" max="3076" width="20.7109375" style="129" customWidth="1"/>
    <col min="3077" max="3077" width="0" style="129" hidden="1" customWidth="1"/>
    <col min="3078" max="3078" width="22" style="129" customWidth="1"/>
    <col min="3079" max="3079" width="15.5703125" style="129" customWidth="1"/>
    <col min="3080" max="3327" width="9.140625" style="129"/>
    <col min="3328" max="3328" width="12.42578125" style="129" customWidth="1"/>
    <col min="3329" max="3329" width="41.85546875" style="129" customWidth="1"/>
    <col min="3330" max="3330" width="22.5703125" style="129" customWidth="1"/>
    <col min="3331" max="3331" width="23.7109375" style="129" customWidth="1"/>
    <col min="3332" max="3332" width="20.7109375" style="129" customWidth="1"/>
    <col min="3333" max="3333" width="0" style="129" hidden="1" customWidth="1"/>
    <col min="3334" max="3334" width="22" style="129" customWidth="1"/>
    <col min="3335" max="3335" width="15.5703125" style="129" customWidth="1"/>
    <col min="3336" max="3583" width="9.140625" style="129"/>
    <col min="3584" max="3584" width="12.42578125" style="129" customWidth="1"/>
    <col min="3585" max="3585" width="41.85546875" style="129" customWidth="1"/>
    <col min="3586" max="3586" width="22.5703125" style="129" customWidth="1"/>
    <col min="3587" max="3587" width="23.7109375" style="129" customWidth="1"/>
    <col min="3588" max="3588" width="20.7109375" style="129" customWidth="1"/>
    <col min="3589" max="3589" width="0" style="129" hidden="1" customWidth="1"/>
    <col min="3590" max="3590" width="22" style="129" customWidth="1"/>
    <col min="3591" max="3591" width="15.5703125" style="129" customWidth="1"/>
    <col min="3592" max="3839" width="9.140625" style="129"/>
    <col min="3840" max="3840" width="12.42578125" style="129" customWidth="1"/>
    <col min="3841" max="3841" width="41.85546875" style="129" customWidth="1"/>
    <col min="3842" max="3842" width="22.5703125" style="129" customWidth="1"/>
    <col min="3843" max="3843" width="23.7109375" style="129" customWidth="1"/>
    <col min="3844" max="3844" width="20.7109375" style="129" customWidth="1"/>
    <col min="3845" max="3845" width="0" style="129" hidden="1" customWidth="1"/>
    <col min="3846" max="3846" width="22" style="129" customWidth="1"/>
    <col min="3847" max="3847" width="15.5703125" style="129" customWidth="1"/>
    <col min="3848" max="4095" width="9.140625" style="129"/>
    <col min="4096" max="4096" width="12.42578125" style="129" customWidth="1"/>
    <col min="4097" max="4097" width="41.85546875" style="129" customWidth="1"/>
    <col min="4098" max="4098" width="22.5703125" style="129" customWidth="1"/>
    <col min="4099" max="4099" width="23.7109375" style="129" customWidth="1"/>
    <col min="4100" max="4100" width="20.7109375" style="129" customWidth="1"/>
    <col min="4101" max="4101" width="0" style="129" hidden="1" customWidth="1"/>
    <col min="4102" max="4102" width="22" style="129" customWidth="1"/>
    <col min="4103" max="4103" width="15.5703125" style="129" customWidth="1"/>
    <col min="4104" max="4351" width="9.140625" style="129"/>
    <col min="4352" max="4352" width="12.42578125" style="129" customWidth="1"/>
    <col min="4353" max="4353" width="41.85546875" style="129" customWidth="1"/>
    <col min="4354" max="4354" width="22.5703125" style="129" customWidth="1"/>
    <col min="4355" max="4355" width="23.7109375" style="129" customWidth="1"/>
    <col min="4356" max="4356" width="20.7109375" style="129" customWidth="1"/>
    <col min="4357" max="4357" width="0" style="129" hidden="1" customWidth="1"/>
    <col min="4358" max="4358" width="22" style="129" customWidth="1"/>
    <col min="4359" max="4359" width="15.5703125" style="129" customWidth="1"/>
    <col min="4360" max="4607" width="9.140625" style="129"/>
    <col min="4608" max="4608" width="12.42578125" style="129" customWidth="1"/>
    <col min="4609" max="4609" width="41.85546875" style="129" customWidth="1"/>
    <col min="4610" max="4610" width="22.5703125" style="129" customWidth="1"/>
    <col min="4611" max="4611" width="23.7109375" style="129" customWidth="1"/>
    <col min="4612" max="4612" width="20.7109375" style="129" customWidth="1"/>
    <col min="4613" max="4613" width="0" style="129" hidden="1" customWidth="1"/>
    <col min="4614" max="4614" width="22" style="129" customWidth="1"/>
    <col min="4615" max="4615" width="15.5703125" style="129" customWidth="1"/>
    <col min="4616" max="4863" width="9.140625" style="129"/>
    <col min="4864" max="4864" width="12.42578125" style="129" customWidth="1"/>
    <col min="4865" max="4865" width="41.85546875" style="129" customWidth="1"/>
    <col min="4866" max="4866" width="22.5703125" style="129" customWidth="1"/>
    <col min="4867" max="4867" width="23.7109375" style="129" customWidth="1"/>
    <col min="4868" max="4868" width="20.7109375" style="129" customWidth="1"/>
    <col min="4869" max="4869" width="0" style="129" hidden="1" customWidth="1"/>
    <col min="4870" max="4870" width="22" style="129" customWidth="1"/>
    <col min="4871" max="4871" width="15.5703125" style="129" customWidth="1"/>
    <col min="4872" max="5119" width="9.140625" style="129"/>
    <col min="5120" max="5120" width="12.42578125" style="129" customWidth="1"/>
    <col min="5121" max="5121" width="41.85546875" style="129" customWidth="1"/>
    <col min="5122" max="5122" width="22.5703125" style="129" customWidth="1"/>
    <col min="5123" max="5123" width="23.7109375" style="129" customWidth="1"/>
    <col min="5124" max="5124" width="20.7109375" style="129" customWidth="1"/>
    <col min="5125" max="5125" width="0" style="129" hidden="1" customWidth="1"/>
    <col min="5126" max="5126" width="22" style="129" customWidth="1"/>
    <col min="5127" max="5127" width="15.5703125" style="129" customWidth="1"/>
    <col min="5128" max="5375" width="9.140625" style="129"/>
    <col min="5376" max="5376" width="12.42578125" style="129" customWidth="1"/>
    <col min="5377" max="5377" width="41.85546875" style="129" customWidth="1"/>
    <col min="5378" max="5378" width="22.5703125" style="129" customWidth="1"/>
    <col min="5379" max="5379" width="23.7109375" style="129" customWidth="1"/>
    <col min="5380" max="5380" width="20.7109375" style="129" customWidth="1"/>
    <col min="5381" max="5381" width="0" style="129" hidden="1" customWidth="1"/>
    <col min="5382" max="5382" width="22" style="129" customWidth="1"/>
    <col min="5383" max="5383" width="15.5703125" style="129" customWidth="1"/>
    <col min="5384" max="5631" width="9.140625" style="129"/>
    <col min="5632" max="5632" width="12.42578125" style="129" customWidth="1"/>
    <col min="5633" max="5633" width="41.85546875" style="129" customWidth="1"/>
    <col min="5634" max="5634" width="22.5703125" style="129" customWidth="1"/>
    <col min="5635" max="5635" width="23.7109375" style="129" customWidth="1"/>
    <col min="5636" max="5636" width="20.7109375" style="129" customWidth="1"/>
    <col min="5637" max="5637" width="0" style="129" hidden="1" customWidth="1"/>
    <col min="5638" max="5638" width="22" style="129" customWidth="1"/>
    <col min="5639" max="5639" width="15.5703125" style="129" customWidth="1"/>
    <col min="5640" max="5887" width="9.140625" style="129"/>
    <col min="5888" max="5888" width="12.42578125" style="129" customWidth="1"/>
    <col min="5889" max="5889" width="41.85546875" style="129" customWidth="1"/>
    <col min="5890" max="5890" width="22.5703125" style="129" customWidth="1"/>
    <col min="5891" max="5891" width="23.7109375" style="129" customWidth="1"/>
    <col min="5892" max="5892" width="20.7109375" style="129" customWidth="1"/>
    <col min="5893" max="5893" width="0" style="129" hidden="1" customWidth="1"/>
    <col min="5894" max="5894" width="22" style="129" customWidth="1"/>
    <col min="5895" max="5895" width="15.5703125" style="129" customWidth="1"/>
    <col min="5896" max="6143" width="9.140625" style="129"/>
    <col min="6144" max="6144" width="12.42578125" style="129" customWidth="1"/>
    <col min="6145" max="6145" width="41.85546875" style="129" customWidth="1"/>
    <col min="6146" max="6146" width="22.5703125" style="129" customWidth="1"/>
    <col min="6147" max="6147" width="23.7109375" style="129" customWidth="1"/>
    <col min="6148" max="6148" width="20.7109375" style="129" customWidth="1"/>
    <col min="6149" max="6149" width="0" style="129" hidden="1" customWidth="1"/>
    <col min="6150" max="6150" width="22" style="129" customWidth="1"/>
    <col min="6151" max="6151" width="15.5703125" style="129" customWidth="1"/>
    <col min="6152" max="6399" width="9.140625" style="129"/>
    <col min="6400" max="6400" width="12.42578125" style="129" customWidth="1"/>
    <col min="6401" max="6401" width="41.85546875" style="129" customWidth="1"/>
    <col min="6402" max="6402" width="22.5703125" style="129" customWidth="1"/>
    <col min="6403" max="6403" width="23.7109375" style="129" customWidth="1"/>
    <col min="6404" max="6404" width="20.7109375" style="129" customWidth="1"/>
    <col min="6405" max="6405" width="0" style="129" hidden="1" customWidth="1"/>
    <col min="6406" max="6406" width="22" style="129" customWidth="1"/>
    <col min="6407" max="6407" width="15.5703125" style="129" customWidth="1"/>
    <col min="6408" max="6655" width="9.140625" style="129"/>
    <col min="6656" max="6656" width="12.42578125" style="129" customWidth="1"/>
    <col min="6657" max="6657" width="41.85546875" style="129" customWidth="1"/>
    <col min="6658" max="6658" width="22.5703125" style="129" customWidth="1"/>
    <col min="6659" max="6659" width="23.7109375" style="129" customWidth="1"/>
    <col min="6660" max="6660" width="20.7109375" style="129" customWidth="1"/>
    <col min="6661" max="6661" width="0" style="129" hidden="1" customWidth="1"/>
    <col min="6662" max="6662" width="22" style="129" customWidth="1"/>
    <col min="6663" max="6663" width="15.5703125" style="129" customWidth="1"/>
    <col min="6664" max="6911" width="9.140625" style="129"/>
    <col min="6912" max="6912" width="12.42578125" style="129" customWidth="1"/>
    <col min="6913" max="6913" width="41.85546875" style="129" customWidth="1"/>
    <col min="6914" max="6914" width="22.5703125" style="129" customWidth="1"/>
    <col min="6915" max="6915" width="23.7109375" style="129" customWidth="1"/>
    <col min="6916" max="6916" width="20.7109375" style="129" customWidth="1"/>
    <col min="6917" max="6917" width="0" style="129" hidden="1" customWidth="1"/>
    <col min="6918" max="6918" width="22" style="129" customWidth="1"/>
    <col min="6919" max="6919" width="15.5703125" style="129" customWidth="1"/>
    <col min="6920" max="7167" width="9.140625" style="129"/>
    <col min="7168" max="7168" width="12.42578125" style="129" customWidth="1"/>
    <col min="7169" max="7169" width="41.85546875" style="129" customWidth="1"/>
    <col min="7170" max="7170" width="22.5703125" style="129" customWidth="1"/>
    <col min="7171" max="7171" width="23.7109375" style="129" customWidth="1"/>
    <col min="7172" max="7172" width="20.7109375" style="129" customWidth="1"/>
    <col min="7173" max="7173" width="0" style="129" hidden="1" customWidth="1"/>
    <col min="7174" max="7174" width="22" style="129" customWidth="1"/>
    <col min="7175" max="7175" width="15.5703125" style="129" customWidth="1"/>
    <col min="7176" max="7423" width="9.140625" style="129"/>
    <col min="7424" max="7424" width="12.42578125" style="129" customWidth="1"/>
    <col min="7425" max="7425" width="41.85546875" style="129" customWidth="1"/>
    <col min="7426" max="7426" width="22.5703125" style="129" customWidth="1"/>
    <col min="7427" max="7427" width="23.7109375" style="129" customWidth="1"/>
    <col min="7428" max="7428" width="20.7109375" style="129" customWidth="1"/>
    <col min="7429" max="7429" width="0" style="129" hidden="1" customWidth="1"/>
    <col min="7430" max="7430" width="22" style="129" customWidth="1"/>
    <col min="7431" max="7431" width="15.5703125" style="129" customWidth="1"/>
    <col min="7432" max="7679" width="9.140625" style="129"/>
    <col min="7680" max="7680" width="12.42578125" style="129" customWidth="1"/>
    <col min="7681" max="7681" width="41.85546875" style="129" customWidth="1"/>
    <col min="7682" max="7682" width="22.5703125" style="129" customWidth="1"/>
    <col min="7683" max="7683" width="23.7109375" style="129" customWidth="1"/>
    <col min="7684" max="7684" width="20.7109375" style="129" customWidth="1"/>
    <col min="7685" max="7685" width="0" style="129" hidden="1" customWidth="1"/>
    <col min="7686" max="7686" width="22" style="129" customWidth="1"/>
    <col min="7687" max="7687" width="15.5703125" style="129" customWidth="1"/>
    <col min="7688" max="7935" width="9.140625" style="129"/>
    <col min="7936" max="7936" width="12.42578125" style="129" customWidth="1"/>
    <col min="7937" max="7937" width="41.85546875" style="129" customWidth="1"/>
    <col min="7938" max="7938" width="22.5703125" style="129" customWidth="1"/>
    <col min="7939" max="7939" width="23.7109375" style="129" customWidth="1"/>
    <col min="7940" max="7940" width="20.7109375" style="129" customWidth="1"/>
    <col min="7941" max="7941" width="0" style="129" hidden="1" customWidth="1"/>
    <col min="7942" max="7942" width="22" style="129" customWidth="1"/>
    <col min="7943" max="7943" width="15.5703125" style="129" customWidth="1"/>
    <col min="7944" max="8191" width="9.140625" style="129"/>
    <col min="8192" max="8192" width="12.42578125" style="129" customWidth="1"/>
    <col min="8193" max="8193" width="41.85546875" style="129" customWidth="1"/>
    <col min="8194" max="8194" width="22.5703125" style="129" customWidth="1"/>
    <col min="8195" max="8195" width="23.7109375" style="129" customWidth="1"/>
    <col min="8196" max="8196" width="20.7109375" style="129" customWidth="1"/>
    <col min="8197" max="8197" width="0" style="129" hidden="1" customWidth="1"/>
    <col min="8198" max="8198" width="22" style="129" customWidth="1"/>
    <col min="8199" max="8199" width="15.5703125" style="129" customWidth="1"/>
    <col min="8200" max="8447" width="9.140625" style="129"/>
    <col min="8448" max="8448" width="12.42578125" style="129" customWidth="1"/>
    <col min="8449" max="8449" width="41.85546875" style="129" customWidth="1"/>
    <col min="8450" max="8450" width="22.5703125" style="129" customWidth="1"/>
    <col min="8451" max="8451" width="23.7109375" style="129" customWidth="1"/>
    <col min="8452" max="8452" width="20.7109375" style="129" customWidth="1"/>
    <col min="8453" max="8453" width="0" style="129" hidden="1" customWidth="1"/>
    <col min="8454" max="8454" width="22" style="129" customWidth="1"/>
    <col min="8455" max="8455" width="15.5703125" style="129" customWidth="1"/>
    <col min="8456" max="8703" width="9.140625" style="129"/>
    <col min="8704" max="8704" width="12.42578125" style="129" customWidth="1"/>
    <col min="8705" max="8705" width="41.85546875" style="129" customWidth="1"/>
    <col min="8706" max="8706" width="22.5703125" style="129" customWidth="1"/>
    <col min="8707" max="8707" width="23.7109375" style="129" customWidth="1"/>
    <col min="8708" max="8708" width="20.7109375" style="129" customWidth="1"/>
    <col min="8709" max="8709" width="0" style="129" hidden="1" customWidth="1"/>
    <col min="8710" max="8710" width="22" style="129" customWidth="1"/>
    <col min="8711" max="8711" width="15.5703125" style="129" customWidth="1"/>
    <col min="8712" max="8959" width="9.140625" style="129"/>
    <col min="8960" max="8960" width="12.42578125" style="129" customWidth="1"/>
    <col min="8961" max="8961" width="41.85546875" style="129" customWidth="1"/>
    <col min="8962" max="8962" width="22.5703125" style="129" customWidth="1"/>
    <col min="8963" max="8963" width="23.7109375" style="129" customWidth="1"/>
    <col min="8964" max="8964" width="20.7109375" style="129" customWidth="1"/>
    <col min="8965" max="8965" width="0" style="129" hidden="1" customWidth="1"/>
    <col min="8966" max="8966" width="22" style="129" customWidth="1"/>
    <col min="8967" max="8967" width="15.5703125" style="129" customWidth="1"/>
    <col min="8968" max="9215" width="9.140625" style="129"/>
    <col min="9216" max="9216" width="12.42578125" style="129" customWidth="1"/>
    <col min="9217" max="9217" width="41.85546875" style="129" customWidth="1"/>
    <col min="9218" max="9218" width="22.5703125" style="129" customWidth="1"/>
    <col min="9219" max="9219" width="23.7109375" style="129" customWidth="1"/>
    <col min="9220" max="9220" width="20.7109375" style="129" customWidth="1"/>
    <col min="9221" max="9221" width="0" style="129" hidden="1" customWidth="1"/>
    <col min="9222" max="9222" width="22" style="129" customWidth="1"/>
    <col min="9223" max="9223" width="15.5703125" style="129" customWidth="1"/>
    <col min="9224" max="9471" width="9.140625" style="129"/>
    <col min="9472" max="9472" width="12.42578125" style="129" customWidth="1"/>
    <col min="9473" max="9473" width="41.85546875" style="129" customWidth="1"/>
    <col min="9474" max="9474" width="22.5703125" style="129" customWidth="1"/>
    <col min="9475" max="9475" width="23.7109375" style="129" customWidth="1"/>
    <col min="9476" max="9476" width="20.7109375" style="129" customWidth="1"/>
    <col min="9477" max="9477" width="0" style="129" hidden="1" customWidth="1"/>
    <col min="9478" max="9478" width="22" style="129" customWidth="1"/>
    <col min="9479" max="9479" width="15.5703125" style="129" customWidth="1"/>
    <col min="9480" max="9727" width="9.140625" style="129"/>
    <col min="9728" max="9728" width="12.42578125" style="129" customWidth="1"/>
    <col min="9729" max="9729" width="41.85546875" style="129" customWidth="1"/>
    <col min="9730" max="9730" width="22.5703125" style="129" customWidth="1"/>
    <col min="9731" max="9731" width="23.7109375" style="129" customWidth="1"/>
    <col min="9732" max="9732" width="20.7109375" style="129" customWidth="1"/>
    <col min="9733" max="9733" width="0" style="129" hidden="1" customWidth="1"/>
    <col min="9734" max="9734" width="22" style="129" customWidth="1"/>
    <col min="9735" max="9735" width="15.5703125" style="129" customWidth="1"/>
    <col min="9736" max="9983" width="9.140625" style="129"/>
    <col min="9984" max="9984" width="12.42578125" style="129" customWidth="1"/>
    <col min="9985" max="9985" width="41.85546875" style="129" customWidth="1"/>
    <col min="9986" max="9986" width="22.5703125" style="129" customWidth="1"/>
    <col min="9987" max="9987" width="23.7109375" style="129" customWidth="1"/>
    <col min="9988" max="9988" width="20.7109375" style="129" customWidth="1"/>
    <col min="9989" max="9989" width="0" style="129" hidden="1" customWidth="1"/>
    <col min="9990" max="9990" width="22" style="129" customWidth="1"/>
    <col min="9991" max="9991" width="15.5703125" style="129" customWidth="1"/>
    <col min="9992" max="10239" width="9.140625" style="129"/>
    <col min="10240" max="10240" width="12.42578125" style="129" customWidth="1"/>
    <col min="10241" max="10241" width="41.85546875" style="129" customWidth="1"/>
    <col min="10242" max="10242" width="22.5703125" style="129" customWidth="1"/>
    <col min="10243" max="10243" width="23.7109375" style="129" customWidth="1"/>
    <col min="10244" max="10244" width="20.7109375" style="129" customWidth="1"/>
    <col min="10245" max="10245" width="0" style="129" hidden="1" customWidth="1"/>
    <col min="10246" max="10246" width="22" style="129" customWidth="1"/>
    <col min="10247" max="10247" width="15.5703125" style="129" customWidth="1"/>
    <col min="10248" max="10495" width="9.140625" style="129"/>
    <col min="10496" max="10496" width="12.42578125" style="129" customWidth="1"/>
    <col min="10497" max="10497" width="41.85546875" style="129" customWidth="1"/>
    <col min="10498" max="10498" width="22.5703125" style="129" customWidth="1"/>
    <col min="10499" max="10499" width="23.7109375" style="129" customWidth="1"/>
    <col min="10500" max="10500" width="20.7109375" style="129" customWidth="1"/>
    <col min="10501" max="10501" width="0" style="129" hidden="1" customWidth="1"/>
    <col min="10502" max="10502" width="22" style="129" customWidth="1"/>
    <col min="10503" max="10503" width="15.5703125" style="129" customWidth="1"/>
    <col min="10504" max="10751" width="9.140625" style="129"/>
    <col min="10752" max="10752" width="12.42578125" style="129" customWidth="1"/>
    <col min="10753" max="10753" width="41.85546875" style="129" customWidth="1"/>
    <col min="10754" max="10754" width="22.5703125" style="129" customWidth="1"/>
    <col min="10755" max="10755" width="23.7109375" style="129" customWidth="1"/>
    <col min="10756" max="10756" width="20.7109375" style="129" customWidth="1"/>
    <col min="10757" max="10757" width="0" style="129" hidden="1" customWidth="1"/>
    <col min="10758" max="10758" width="22" style="129" customWidth="1"/>
    <col min="10759" max="10759" width="15.5703125" style="129" customWidth="1"/>
    <col min="10760" max="11007" width="9.140625" style="129"/>
    <col min="11008" max="11008" width="12.42578125" style="129" customWidth="1"/>
    <col min="11009" max="11009" width="41.85546875" style="129" customWidth="1"/>
    <col min="11010" max="11010" width="22.5703125" style="129" customWidth="1"/>
    <col min="11011" max="11011" width="23.7109375" style="129" customWidth="1"/>
    <col min="11012" max="11012" width="20.7109375" style="129" customWidth="1"/>
    <col min="11013" max="11013" width="0" style="129" hidden="1" customWidth="1"/>
    <col min="11014" max="11014" width="22" style="129" customWidth="1"/>
    <col min="11015" max="11015" width="15.5703125" style="129" customWidth="1"/>
    <col min="11016" max="11263" width="9.140625" style="129"/>
    <col min="11264" max="11264" width="12.42578125" style="129" customWidth="1"/>
    <col min="11265" max="11265" width="41.85546875" style="129" customWidth="1"/>
    <col min="11266" max="11266" width="22.5703125" style="129" customWidth="1"/>
    <col min="11267" max="11267" width="23.7109375" style="129" customWidth="1"/>
    <col min="11268" max="11268" width="20.7109375" style="129" customWidth="1"/>
    <col min="11269" max="11269" width="0" style="129" hidden="1" customWidth="1"/>
    <col min="11270" max="11270" width="22" style="129" customWidth="1"/>
    <col min="11271" max="11271" width="15.5703125" style="129" customWidth="1"/>
    <col min="11272" max="11519" width="9.140625" style="129"/>
    <col min="11520" max="11520" width="12.42578125" style="129" customWidth="1"/>
    <col min="11521" max="11521" width="41.85546875" style="129" customWidth="1"/>
    <col min="11522" max="11522" width="22.5703125" style="129" customWidth="1"/>
    <col min="11523" max="11523" width="23.7109375" style="129" customWidth="1"/>
    <col min="11524" max="11524" width="20.7109375" style="129" customWidth="1"/>
    <col min="11525" max="11525" width="0" style="129" hidden="1" customWidth="1"/>
    <col min="11526" max="11526" width="22" style="129" customWidth="1"/>
    <col min="11527" max="11527" width="15.5703125" style="129" customWidth="1"/>
    <col min="11528" max="11775" width="9.140625" style="129"/>
    <col min="11776" max="11776" width="12.42578125" style="129" customWidth="1"/>
    <col min="11777" max="11777" width="41.85546875" style="129" customWidth="1"/>
    <col min="11778" max="11778" width="22.5703125" style="129" customWidth="1"/>
    <col min="11779" max="11779" width="23.7109375" style="129" customWidth="1"/>
    <col min="11780" max="11780" width="20.7109375" style="129" customWidth="1"/>
    <col min="11781" max="11781" width="0" style="129" hidden="1" customWidth="1"/>
    <col min="11782" max="11782" width="22" style="129" customWidth="1"/>
    <col min="11783" max="11783" width="15.5703125" style="129" customWidth="1"/>
    <col min="11784" max="12031" width="9.140625" style="129"/>
    <col min="12032" max="12032" width="12.42578125" style="129" customWidth="1"/>
    <col min="12033" max="12033" width="41.85546875" style="129" customWidth="1"/>
    <col min="12034" max="12034" width="22.5703125" style="129" customWidth="1"/>
    <col min="12035" max="12035" width="23.7109375" style="129" customWidth="1"/>
    <col min="12036" max="12036" width="20.7109375" style="129" customWidth="1"/>
    <col min="12037" max="12037" width="0" style="129" hidden="1" customWidth="1"/>
    <col min="12038" max="12038" width="22" style="129" customWidth="1"/>
    <col min="12039" max="12039" width="15.5703125" style="129" customWidth="1"/>
    <col min="12040" max="12287" width="9.140625" style="129"/>
    <col min="12288" max="12288" width="12.42578125" style="129" customWidth="1"/>
    <col min="12289" max="12289" width="41.85546875" style="129" customWidth="1"/>
    <col min="12290" max="12290" width="22.5703125" style="129" customWidth="1"/>
    <col min="12291" max="12291" width="23.7109375" style="129" customWidth="1"/>
    <col min="12292" max="12292" width="20.7109375" style="129" customWidth="1"/>
    <col min="12293" max="12293" width="0" style="129" hidden="1" customWidth="1"/>
    <col min="12294" max="12294" width="22" style="129" customWidth="1"/>
    <col min="12295" max="12295" width="15.5703125" style="129" customWidth="1"/>
    <col min="12296" max="12543" width="9.140625" style="129"/>
    <col min="12544" max="12544" width="12.42578125" style="129" customWidth="1"/>
    <col min="12545" max="12545" width="41.85546875" style="129" customWidth="1"/>
    <col min="12546" max="12546" width="22.5703125" style="129" customWidth="1"/>
    <col min="12547" max="12547" width="23.7109375" style="129" customWidth="1"/>
    <col min="12548" max="12548" width="20.7109375" style="129" customWidth="1"/>
    <col min="12549" max="12549" width="0" style="129" hidden="1" customWidth="1"/>
    <col min="12550" max="12550" width="22" style="129" customWidth="1"/>
    <col min="12551" max="12551" width="15.5703125" style="129" customWidth="1"/>
    <col min="12552" max="12799" width="9.140625" style="129"/>
    <col min="12800" max="12800" width="12.42578125" style="129" customWidth="1"/>
    <col min="12801" max="12801" width="41.85546875" style="129" customWidth="1"/>
    <col min="12802" max="12802" width="22.5703125" style="129" customWidth="1"/>
    <col min="12803" max="12803" width="23.7109375" style="129" customWidth="1"/>
    <col min="12804" max="12804" width="20.7109375" style="129" customWidth="1"/>
    <col min="12805" max="12805" width="0" style="129" hidden="1" customWidth="1"/>
    <col min="12806" max="12806" width="22" style="129" customWidth="1"/>
    <col min="12807" max="12807" width="15.5703125" style="129" customWidth="1"/>
    <col min="12808" max="13055" width="9.140625" style="129"/>
    <col min="13056" max="13056" width="12.42578125" style="129" customWidth="1"/>
    <col min="13057" max="13057" width="41.85546875" style="129" customWidth="1"/>
    <col min="13058" max="13058" width="22.5703125" style="129" customWidth="1"/>
    <col min="13059" max="13059" width="23.7109375" style="129" customWidth="1"/>
    <col min="13060" max="13060" width="20.7109375" style="129" customWidth="1"/>
    <col min="13061" max="13061" width="0" style="129" hidden="1" customWidth="1"/>
    <col min="13062" max="13062" width="22" style="129" customWidth="1"/>
    <col min="13063" max="13063" width="15.5703125" style="129" customWidth="1"/>
    <col min="13064" max="13311" width="9.140625" style="129"/>
    <col min="13312" max="13312" width="12.42578125" style="129" customWidth="1"/>
    <col min="13313" max="13313" width="41.85546875" style="129" customWidth="1"/>
    <col min="13314" max="13314" width="22.5703125" style="129" customWidth="1"/>
    <col min="13315" max="13315" width="23.7109375" style="129" customWidth="1"/>
    <col min="13316" max="13316" width="20.7109375" style="129" customWidth="1"/>
    <col min="13317" max="13317" width="0" style="129" hidden="1" customWidth="1"/>
    <col min="13318" max="13318" width="22" style="129" customWidth="1"/>
    <col min="13319" max="13319" width="15.5703125" style="129" customWidth="1"/>
    <col min="13320" max="13567" width="9.140625" style="129"/>
    <col min="13568" max="13568" width="12.42578125" style="129" customWidth="1"/>
    <col min="13569" max="13569" width="41.85546875" style="129" customWidth="1"/>
    <col min="13570" max="13570" width="22.5703125" style="129" customWidth="1"/>
    <col min="13571" max="13571" width="23.7109375" style="129" customWidth="1"/>
    <col min="13572" max="13572" width="20.7109375" style="129" customWidth="1"/>
    <col min="13573" max="13573" width="0" style="129" hidden="1" customWidth="1"/>
    <col min="13574" max="13574" width="22" style="129" customWidth="1"/>
    <col min="13575" max="13575" width="15.5703125" style="129" customWidth="1"/>
    <col min="13576" max="13823" width="9.140625" style="129"/>
    <col min="13824" max="13824" width="12.42578125" style="129" customWidth="1"/>
    <col min="13825" max="13825" width="41.85546875" style="129" customWidth="1"/>
    <col min="13826" max="13826" width="22.5703125" style="129" customWidth="1"/>
    <col min="13827" max="13827" width="23.7109375" style="129" customWidth="1"/>
    <col min="13828" max="13828" width="20.7109375" style="129" customWidth="1"/>
    <col min="13829" max="13829" width="0" style="129" hidden="1" customWidth="1"/>
    <col min="13830" max="13830" width="22" style="129" customWidth="1"/>
    <col min="13831" max="13831" width="15.5703125" style="129" customWidth="1"/>
    <col min="13832" max="14079" width="9.140625" style="129"/>
    <col min="14080" max="14080" width="12.42578125" style="129" customWidth="1"/>
    <col min="14081" max="14081" width="41.85546875" style="129" customWidth="1"/>
    <col min="14082" max="14082" width="22.5703125" style="129" customWidth="1"/>
    <col min="14083" max="14083" width="23.7109375" style="129" customWidth="1"/>
    <col min="14084" max="14084" width="20.7109375" style="129" customWidth="1"/>
    <col min="14085" max="14085" width="0" style="129" hidden="1" customWidth="1"/>
    <col min="14086" max="14086" width="22" style="129" customWidth="1"/>
    <col min="14087" max="14087" width="15.5703125" style="129" customWidth="1"/>
    <col min="14088" max="14335" width="9.140625" style="129"/>
    <col min="14336" max="14336" width="12.42578125" style="129" customWidth="1"/>
    <col min="14337" max="14337" width="41.85546875" style="129" customWidth="1"/>
    <col min="14338" max="14338" width="22.5703125" style="129" customWidth="1"/>
    <col min="14339" max="14339" width="23.7109375" style="129" customWidth="1"/>
    <col min="14340" max="14340" width="20.7109375" style="129" customWidth="1"/>
    <col min="14341" max="14341" width="0" style="129" hidden="1" customWidth="1"/>
    <col min="14342" max="14342" width="22" style="129" customWidth="1"/>
    <col min="14343" max="14343" width="15.5703125" style="129" customWidth="1"/>
    <col min="14344" max="14591" width="9.140625" style="129"/>
    <col min="14592" max="14592" width="12.42578125" style="129" customWidth="1"/>
    <col min="14593" max="14593" width="41.85546875" style="129" customWidth="1"/>
    <col min="14594" max="14594" width="22.5703125" style="129" customWidth="1"/>
    <col min="14595" max="14595" width="23.7109375" style="129" customWidth="1"/>
    <col min="14596" max="14596" width="20.7109375" style="129" customWidth="1"/>
    <col min="14597" max="14597" width="0" style="129" hidden="1" customWidth="1"/>
    <col min="14598" max="14598" width="22" style="129" customWidth="1"/>
    <col min="14599" max="14599" width="15.5703125" style="129" customWidth="1"/>
    <col min="14600" max="14847" width="9.140625" style="129"/>
    <col min="14848" max="14848" width="12.42578125" style="129" customWidth="1"/>
    <col min="14849" max="14849" width="41.85546875" style="129" customWidth="1"/>
    <col min="14850" max="14850" width="22.5703125" style="129" customWidth="1"/>
    <col min="14851" max="14851" width="23.7109375" style="129" customWidth="1"/>
    <col min="14852" max="14852" width="20.7109375" style="129" customWidth="1"/>
    <col min="14853" max="14853" width="0" style="129" hidden="1" customWidth="1"/>
    <col min="14854" max="14854" width="22" style="129" customWidth="1"/>
    <col min="14855" max="14855" width="15.5703125" style="129" customWidth="1"/>
    <col min="14856" max="15103" width="9.140625" style="129"/>
    <col min="15104" max="15104" width="12.42578125" style="129" customWidth="1"/>
    <col min="15105" max="15105" width="41.85546875" style="129" customWidth="1"/>
    <col min="15106" max="15106" width="22.5703125" style="129" customWidth="1"/>
    <col min="15107" max="15107" width="23.7109375" style="129" customWidth="1"/>
    <col min="15108" max="15108" width="20.7109375" style="129" customWidth="1"/>
    <col min="15109" max="15109" width="0" style="129" hidden="1" customWidth="1"/>
    <col min="15110" max="15110" width="22" style="129" customWidth="1"/>
    <col min="15111" max="15111" width="15.5703125" style="129" customWidth="1"/>
    <col min="15112" max="15359" width="9.140625" style="129"/>
    <col min="15360" max="15360" width="12.42578125" style="129" customWidth="1"/>
    <col min="15361" max="15361" width="41.85546875" style="129" customWidth="1"/>
    <col min="15362" max="15362" width="22.5703125" style="129" customWidth="1"/>
    <col min="15363" max="15363" width="23.7109375" style="129" customWidth="1"/>
    <col min="15364" max="15364" width="20.7109375" style="129" customWidth="1"/>
    <col min="15365" max="15365" width="0" style="129" hidden="1" customWidth="1"/>
    <col min="15366" max="15366" width="22" style="129" customWidth="1"/>
    <col min="15367" max="15367" width="15.5703125" style="129" customWidth="1"/>
    <col min="15368" max="15615" width="9.140625" style="129"/>
    <col min="15616" max="15616" width="12.42578125" style="129" customWidth="1"/>
    <col min="15617" max="15617" width="41.85546875" style="129" customWidth="1"/>
    <col min="15618" max="15618" width="22.5703125" style="129" customWidth="1"/>
    <col min="15619" max="15619" width="23.7109375" style="129" customWidth="1"/>
    <col min="15620" max="15620" width="20.7109375" style="129" customWidth="1"/>
    <col min="15621" max="15621" width="0" style="129" hidden="1" customWidth="1"/>
    <col min="15622" max="15622" width="22" style="129" customWidth="1"/>
    <col min="15623" max="15623" width="15.5703125" style="129" customWidth="1"/>
    <col min="15624" max="15871" width="9.140625" style="129"/>
    <col min="15872" max="15872" width="12.42578125" style="129" customWidth="1"/>
    <col min="15873" max="15873" width="41.85546875" style="129" customWidth="1"/>
    <col min="15874" max="15874" width="22.5703125" style="129" customWidth="1"/>
    <col min="15875" max="15875" width="23.7109375" style="129" customWidth="1"/>
    <col min="15876" max="15876" width="20.7109375" style="129" customWidth="1"/>
    <col min="15877" max="15877" width="0" style="129" hidden="1" customWidth="1"/>
    <col min="15878" max="15878" width="22" style="129" customWidth="1"/>
    <col min="15879" max="15879" width="15.5703125" style="129" customWidth="1"/>
    <col min="15880" max="16127" width="9.140625" style="129"/>
    <col min="16128" max="16128" width="12.42578125" style="129" customWidth="1"/>
    <col min="16129" max="16129" width="41.85546875" style="129" customWidth="1"/>
    <col min="16130" max="16130" width="22.5703125" style="129" customWidth="1"/>
    <col min="16131" max="16131" width="23.7109375" style="129" customWidth="1"/>
    <col min="16132" max="16132" width="20.7109375" style="129" customWidth="1"/>
    <col min="16133" max="16133" width="0" style="129" hidden="1" customWidth="1"/>
    <col min="16134" max="16134" width="22" style="129" customWidth="1"/>
    <col min="16135" max="16135" width="15.5703125" style="129" customWidth="1"/>
    <col min="16136" max="16384" width="9.140625" style="129"/>
  </cols>
  <sheetData>
    <row r="1" spans="1:14">
      <c r="A1" s="126"/>
      <c r="B1" s="127"/>
      <c r="C1" s="128"/>
      <c r="D1" s="128"/>
      <c r="E1" s="22"/>
      <c r="G1" s="22"/>
    </row>
    <row r="2" spans="1:14" s="132" customFormat="1" ht="20.25">
      <c r="A2" s="391" t="str">
        <f>'Orçamento '!A2</f>
        <v>PREFEITURA MUNICIPAL DE CRUZEIRO DO SUL - RS</v>
      </c>
      <c r="B2" s="391"/>
      <c r="C2" s="391"/>
      <c r="D2" s="130"/>
      <c r="E2" s="130"/>
      <c r="F2" s="131" t="str">
        <f>'Orçamento '!G2</f>
        <v>Cruzeiro do Sul/RS, Outubro de 2023.</v>
      </c>
    </row>
    <row r="3" spans="1:14" s="132" customFormat="1" ht="30" customHeight="1">
      <c r="A3" s="407" t="str">
        <f>'Orçamento '!B3</f>
        <v>RUA PROFESSOR ALOÍZIO ROMEU SIEBEN - ESTRADA SÃO RAFAEL</v>
      </c>
      <c r="B3" s="407"/>
      <c r="C3" s="133"/>
      <c r="D3" s="130"/>
      <c r="E3" s="130"/>
      <c r="F3" s="131"/>
    </row>
    <row r="4" spans="1:14" s="132" customFormat="1" ht="23.25" customHeight="1">
      <c r="A4" s="134"/>
      <c r="B4" s="134"/>
      <c r="C4" s="133"/>
      <c r="D4" s="130"/>
      <c r="E4" s="130"/>
      <c r="F4" s="131"/>
    </row>
    <row r="5" spans="1:14" s="132" customFormat="1" ht="23.25" customHeight="1">
      <c r="A5" s="134"/>
      <c r="B5" s="134"/>
      <c r="C5" s="133"/>
      <c r="D5" s="130"/>
      <c r="E5" s="130"/>
      <c r="F5" s="131"/>
    </row>
    <row r="6" spans="1:14" s="132" customFormat="1" ht="23.25" customHeight="1">
      <c r="A6" s="134"/>
      <c r="B6" s="134"/>
      <c r="C6" s="133"/>
      <c r="D6" s="130"/>
      <c r="E6" s="130"/>
      <c r="F6" s="131"/>
    </row>
    <row r="7" spans="1:14" s="132" customFormat="1" ht="23.25" customHeight="1">
      <c r="A7" s="134"/>
      <c r="B7" s="134"/>
      <c r="C7" s="133"/>
      <c r="D7" s="130"/>
      <c r="E7" s="130"/>
      <c r="F7" s="131"/>
    </row>
    <row r="8" spans="1:14" s="132" customFormat="1" ht="20.25">
      <c r="A8" s="392" t="s">
        <v>165</v>
      </c>
      <c r="B8" s="392"/>
      <c r="C8" s="392"/>
      <c r="D8" s="392"/>
      <c r="E8" s="392"/>
      <c r="F8" s="392"/>
    </row>
    <row r="9" spans="1:14" s="132" customFormat="1" ht="15" customHeight="1">
      <c r="A9" s="393"/>
      <c r="B9" s="394"/>
      <c r="C9" s="394"/>
      <c r="D9" s="394"/>
      <c r="E9" s="394"/>
      <c r="F9" s="395"/>
    </row>
    <row r="10" spans="1:14" s="136" customFormat="1" ht="18.75" customHeight="1">
      <c r="A10" s="396" t="s">
        <v>66</v>
      </c>
      <c r="B10" s="397"/>
      <c r="C10" s="397"/>
      <c r="D10" s="397"/>
      <c r="E10" s="397"/>
      <c r="F10" s="398"/>
      <c r="G10" s="135"/>
      <c r="I10" s="137"/>
      <c r="J10" s="137"/>
      <c r="K10" s="137"/>
      <c r="L10" s="137"/>
      <c r="M10" s="137"/>
      <c r="N10" s="137"/>
    </row>
    <row r="11" spans="1:14" s="136" customFormat="1" ht="15" customHeight="1">
      <c r="A11" s="138"/>
      <c r="B11" s="139"/>
      <c r="C11" s="139"/>
      <c r="D11" s="139"/>
      <c r="E11" s="139"/>
      <c r="F11" s="140"/>
      <c r="G11" s="135"/>
      <c r="I11" s="137"/>
      <c r="J11" s="137"/>
      <c r="K11" s="137"/>
      <c r="L11" s="137"/>
      <c r="M11" s="137"/>
      <c r="N11" s="137"/>
    </row>
    <row r="12" spans="1:14" s="136" customFormat="1" ht="20.25">
      <c r="A12" s="399" t="s">
        <v>67</v>
      </c>
      <c r="B12" s="399"/>
      <c r="C12" s="400" t="s">
        <v>68</v>
      </c>
      <c r="D12" s="400"/>
      <c r="E12" s="400"/>
      <c r="F12" s="400"/>
      <c r="G12" s="135"/>
      <c r="I12" s="137"/>
      <c r="J12" s="137"/>
      <c r="K12" s="137"/>
      <c r="L12" s="137"/>
      <c r="M12" s="137"/>
      <c r="N12" s="137"/>
    </row>
    <row r="13" spans="1:14" s="135" customFormat="1" ht="20.25">
      <c r="A13" s="401"/>
      <c r="B13" s="402"/>
      <c r="C13" s="402"/>
      <c r="D13" s="402"/>
      <c r="E13" s="402"/>
      <c r="F13" s="403"/>
    </row>
    <row r="14" spans="1:14" s="135" customFormat="1" ht="26.25" customHeight="1">
      <c r="A14" s="404" t="s">
        <v>69</v>
      </c>
      <c r="B14" s="405"/>
      <c r="C14" s="141" t="s">
        <v>70</v>
      </c>
      <c r="D14" s="141" t="s">
        <v>71</v>
      </c>
      <c r="E14" s="141" t="s">
        <v>72</v>
      </c>
      <c r="F14" s="142" t="s">
        <v>73</v>
      </c>
      <c r="G14" s="132"/>
    </row>
    <row r="15" spans="1:14" s="132" customFormat="1" ht="26.25" customHeight="1">
      <c r="A15" s="143">
        <v>1</v>
      </c>
      <c r="B15" s="42" t="s">
        <v>74</v>
      </c>
      <c r="C15" s="110">
        <v>3.7999999999999999E-2</v>
      </c>
      <c r="D15" s="110">
        <v>4.0099999999999997E-2</v>
      </c>
      <c r="E15" s="110">
        <v>4.6699999999999998E-2</v>
      </c>
      <c r="F15" s="144">
        <f>E15</f>
        <v>4.6699999999999998E-2</v>
      </c>
    </row>
    <row r="16" spans="1:14" ht="26.25" customHeight="1">
      <c r="A16" s="143">
        <v>2</v>
      </c>
      <c r="B16" s="42" t="s">
        <v>75</v>
      </c>
      <c r="C16" s="110">
        <v>3.2000000000000002E-3</v>
      </c>
      <c r="D16" s="110">
        <v>4.0000000000000001E-3</v>
      </c>
      <c r="E16" s="110">
        <v>7.4000000000000003E-3</v>
      </c>
      <c r="F16" s="144">
        <f>E16</f>
        <v>7.4000000000000003E-3</v>
      </c>
    </row>
    <row r="17" spans="1:14" ht="26.25" customHeight="1">
      <c r="A17" s="143">
        <v>3</v>
      </c>
      <c r="B17" s="42" t="s">
        <v>76</v>
      </c>
      <c r="C17" s="110">
        <v>5.0000000000000001E-3</v>
      </c>
      <c r="D17" s="110">
        <v>5.5999999999999999E-3</v>
      </c>
      <c r="E17" s="110">
        <v>9.7000000000000003E-3</v>
      </c>
      <c r="F17" s="144">
        <f>E17</f>
        <v>9.7000000000000003E-3</v>
      </c>
    </row>
    <row r="18" spans="1:14" ht="26.25" customHeight="1">
      <c r="A18" s="143">
        <v>4</v>
      </c>
      <c r="B18" s="42" t="s">
        <v>77</v>
      </c>
      <c r="C18" s="110">
        <v>1.0200000000000001E-2</v>
      </c>
      <c r="D18" s="110">
        <v>1.11E-2</v>
      </c>
      <c r="E18" s="110">
        <v>1.21E-2</v>
      </c>
      <c r="F18" s="144">
        <f>E18</f>
        <v>1.21E-2</v>
      </c>
    </row>
    <row r="19" spans="1:14" ht="26.25" customHeight="1">
      <c r="A19" s="143">
        <v>5</v>
      </c>
      <c r="B19" s="42" t="s">
        <v>78</v>
      </c>
      <c r="C19" s="110">
        <v>6.6400000000000001E-2</v>
      </c>
      <c r="D19" s="110">
        <v>7.2999999999999995E-2</v>
      </c>
      <c r="E19" s="110">
        <v>8.6900000000000005E-2</v>
      </c>
      <c r="F19" s="144">
        <v>8.2900000000000001E-2</v>
      </c>
    </row>
    <row r="20" spans="1:14" ht="26.25" customHeight="1">
      <c r="A20" s="145">
        <v>6</v>
      </c>
      <c r="B20" s="146" t="s">
        <v>79</v>
      </c>
      <c r="C20" s="378" t="s">
        <v>80</v>
      </c>
      <c r="D20" s="406"/>
      <c r="E20" s="379"/>
      <c r="F20" s="147">
        <f>SUM(F21:F24)</f>
        <v>6.1499999999999999E-2</v>
      </c>
    </row>
    <row r="21" spans="1:14" ht="26.25" customHeight="1">
      <c r="A21" s="148"/>
      <c r="B21" s="149"/>
      <c r="C21" s="378" t="s">
        <v>81</v>
      </c>
      <c r="D21" s="379"/>
      <c r="E21" s="150" t="s">
        <v>82</v>
      </c>
      <c r="F21" s="151">
        <v>6.4999999999999997E-3</v>
      </c>
    </row>
    <row r="22" spans="1:14" ht="26.25" customHeight="1">
      <c r="A22" s="148"/>
      <c r="B22" s="149"/>
      <c r="C22" s="378" t="s">
        <v>81</v>
      </c>
      <c r="D22" s="379"/>
      <c r="E22" s="150" t="s">
        <v>83</v>
      </c>
      <c r="F22" s="151">
        <v>0.03</v>
      </c>
    </row>
    <row r="23" spans="1:14" ht="26.25" customHeight="1">
      <c r="A23" s="148"/>
      <c r="B23" s="149"/>
      <c r="C23" s="378" t="s">
        <v>81</v>
      </c>
      <c r="D23" s="379"/>
      <c r="E23" s="150" t="s">
        <v>84</v>
      </c>
      <c r="F23" s="151">
        <v>2.5000000000000001E-2</v>
      </c>
      <c r="H23" s="152"/>
    </row>
    <row r="24" spans="1:14" ht="26.25" customHeight="1">
      <c r="A24" s="148"/>
      <c r="B24" s="149"/>
      <c r="C24" s="378" t="s">
        <v>81</v>
      </c>
      <c r="D24" s="379"/>
      <c r="E24" s="150" t="s">
        <v>85</v>
      </c>
      <c r="F24" s="151">
        <v>0</v>
      </c>
    </row>
    <row r="25" spans="1:14" ht="26.25" customHeight="1">
      <c r="A25" s="380" t="s">
        <v>63</v>
      </c>
      <c r="B25" s="381"/>
      <c r="C25" s="153"/>
      <c r="D25" s="153"/>
      <c r="E25" s="141"/>
      <c r="F25" s="154" t="s">
        <v>86</v>
      </c>
    </row>
    <row r="26" spans="1:14" ht="26.25" customHeight="1" thickBot="1">
      <c r="A26" s="382" t="s">
        <v>87</v>
      </c>
      <c r="B26" s="383"/>
      <c r="C26" s="155"/>
      <c r="D26" s="156"/>
      <c r="E26" s="156"/>
      <c r="F26" s="157">
        <f>((((1+F15+F16+F17)*(1+F18)*(1+F19)))/(1-F20))-1</f>
        <v>0.24233147271390498</v>
      </c>
    </row>
    <row r="27" spans="1:14" ht="16.5" thickBot="1">
      <c r="A27" s="12"/>
      <c r="B27" s="158"/>
      <c r="C27" s="159"/>
      <c r="D27" s="159"/>
      <c r="E27" s="159"/>
      <c r="F27" s="159"/>
    </row>
    <row r="28" spans="1:14" ht="16.5" thickBot="1">
      <c r="A28" s="384" t="s">
        <v>88</v>
      </c>
      <c r="B28" s="385"/>
      <c r="C28" s="385"/>
      <c r="D28" s="386"/>
      <c r="E28" s="160"/>
      <c r="F28" s="160"/>
    </row>
    <row r="29" spans="1:14" s="162" customFormat="1" ht="16.5" thickBot="1">
      <c r="A29" s="387" t="s">
        <v>89</v>
      </c>
      <c r="B29" s="161" t="s">
        <v>90</v>
      </c>
      <c r="C29" s="161"/>
      <c r="D29" s="389">
        <v>-1</v>
      </c>
      <c r="I29" s="163"/>
      <c r="J29" s="163"/>
      <c r="K29" s="163"/>
      <c r="L29" s="163"/>
      <c r="M29" s="164"/>
      <c r="N29" s="164"/>
    </row>
    <row r="30" spans="1:14" s="162" customFormat="1" ht="16.5" thickBot="1">
      <c r="A30" s="388"/>
      <c r="B30" s="165" t="s">
        <v>91</v>
      </c>
      <c r="C30" s="165"/>
      <c r="D30" s="390"/>
      <c r="I30" s="163"/>
      <c r="J30" s="163"/>
      <c r="K30" s="163"/>
      <c r="L30" s="163"/>
      <c r="M30" s="164"/>
      <c r="N30" s="164"/>
    </row>
    <row r="31" spans="1:14" s="162" customFormat="1">
      <c r="F31" s="166"/>
      <c r="I31" s="163"/>
      <c r="J31" s="163"/>
      <c r="K31" s="163"/>
      <c r="L31" s="163"/>
      <c r="M31" s="164"/>
      <c r="N31" s="164"/>
    </row>
    <row r="32" spans="1:14" s="162" customFormat="1">
      <c r="I32" s="163"/>
      <c r="J32" s="163"/>
      <c r="K32" s="163"/>
      <c r="L32" s="163"/>
      <c r="M32" s="164"/>
      <c r="N32" s="164"/>
    </row>
    <row r="33" spans="1:6">
      <c r="A33" s="12"/>
      <c r="B33" s="158"/>
      <c r="C33" s="167"/>
      <c r="D33" s="160"/>
      <c r="E33" s="160"/>
      <c r="F33" s="160"/>
    </row>
    <row r="34" spans="1:6">
      <c r="C34" s="170"/>
      <c r="D34" s="171"/>
    </row>
    <row r="35" spans="1:6">
      <c r="C35" s="170"/>
      <c r="D35" s="171"/>
    </row>
    <row r="36" spans="1:6" ht="20.25" customHeight="1">
      <c r="B36" s="172" t="str">
        <f>'Orçamento '!C102</f>
        <v>RESPONSÁVEL TÉCNICO</v>
      </c>
      <c r="C36" s="170"/>
      <c r="D36" s="171"/>
      <c r="E36" s="170" t="str">
        <f>'Orçamento '!E102</f>
        <v>PREFEITURA MUNICIPAL</v>
      </c>
    </row>
    <row r="37" spans="1:6" ht="20.25" customHeight="1">
      <c r="B37" s="172"/>
      <c r="E37" s="170" t="str">
        <f>'Orçamento '!E103</f>
        <v>CRUZEIRO DO SUL/RS</v>
      </c>
    </row>
  </sheetData>
  <mergeCells count="19">
    <mergeCell ref="C23:D23"/>
    <mergeCell ref="A2:C2"/>
    <mergeCell ref="A8:F8"/>
    <mergeCell ref="A9:F9"/>
    <mergeCell ref="A10:F10"/>
    <mergeCell ref="A12:B12"/>
    <mergeCell ref="C12:F12"/>
    <mergeCell ref="A13:F13"/>
    <mergeCell ref="A14:B14"/>
    <mergeCell ref="C20:E20"/>
    <mergeCell ref="C21:D21"/>
    <mergeCell ref="C22:D22"/>
    <mergeCell ref="A3:B3"/>
    <mergeCell ref="C24:D24"/>
    <mergeCell ref="A25:B25"/>
    <mergeCell ref="A26:B26"/>
    <mergeCell ref="A28:D28"/>
    <mergeCell ref="A29:A30"/>
    <mergeCell ref="D29:D30"/>
  </mergeCells>
  <pageMargins left="0.511811024" right="0.511811024" top="0.78740157499999996" bottom="0.78740157499999996" header="0.31496062000000002" footer="0.31496062000000002"/>
  <pageSetup paperSize="9" scale="7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B1:M55"/>
  <sheetViews>
    <sheetView showGridLines="0" view="pageBreakPreview" zoomScale="70" zoomScaleNormal="100" zoomScaleSheetLayoutView="70" workbookViewId="0">
      <selection activeCell="D5" sqref="D5"/>
    </sheetView>
  </sheetViews>
  <sheetFormatPr defaultColWidth="9.140625" defaultRowHeight="15.75"/>
  <cols>
    <col min="1" max="1" width="1.5703125" style="173" customWidth="1"/>
    <col min="2" max="2" width="11.5703125" style="173" customWidth="1"/>
    <col min="3" max="3" width="104" style="173" customWidth="1"/>
    <col min="4" max="5" width="25.85546875" style="173" customWidth="1"/>
    <col min="6" max="6" width="1.28515625" style="173" customWidth="1"/>
    <col min="7" max="9" width="9.140625" style="173"/>
    <col min="10" max="13" width="17.140625" style="173" customWidth="1"/>
    <col min="14" max="20" width="9.140625" style="173"/>
    <col min="21" max="21" width="4.28515625" style="173" customWidth="1"/>
    <col min="22" max="16384" width="9.140625" style="173"/>
  </cols>
  <sheetData>
    <row r="1" spans="2:13" ht="21" customHeight="1">
      <c r="B1" s="97"/>
    </row>
    <row r="2" spans="2:13" s="175" customFormat="1" ht="21" customHeight="1">
      <c r="B2" s="174" t="str">
        <f>'Orçamento '!A2</f>
        <v>PREFEITURA MUNICIPAL DE CRUZEIRO DO SUL - RS</v>
      </c>
      <c r="E2" s="176" t="str">
        <f>'Orçamento '!G2</f>
        <v>Cruzeiro do Sul/RS, Outubro de 2023.</v>
      </c>
    </row>
    <row r="3" spans="2:13" s="175" customFormat="1" ht="21" customHeight="1">
      <c r="B3" s="177" t="str">
        <f>'Orçamento '!B3</f>
        <v>RUA PROFESSOR ALOÍZIO ROMEU SIEBEN - ESTRADA SÃO RAFAEL</v>
      </c>
    </row>
    <row r="4" spans="2:13" s="175" customFormat="1" ht="21" customHeight="1">
      <c r="B4" s="177"/>
    </row>
    <row r="5" spans="2:13" s="175" customFormat="1" ht="21" customHeight="1">
      <c r="B5" s="177"/>
    </row>
    <row r="6" spans="2:13" s="175" customFormat="1" ht="21" customHeight="1">
      <c r="B6" s="177"/>
    </row>
    <row r="7" spans="2:13" s="175" customFormat="1" ht="21" customHeight="1">
      <c r="B7" s="178"/>
    </row>
    <row r="8" spans="2:13" s="175" customFormat="1" ht="21" customHeight="1">
      <c r="B8" s="179" t="s">
        <v>92</v>
      </c>
      <c r="C8" s="180"/>
      <c r="D8" s="180"/>
      <c r="E8" s="181"/>
    </row>
    <row r="9" spans="2:13" s="175" customFormat="1" ht="21" customHeight="1">
      <c r="E9" s="182"/>
    </row>
    <row r="10" spans="2:13" s="175" customFormat="1" ht="21" customHeight="1">
      <c r="E10" s="182"/>
    </row>
    <row r="11" spans="2:13" s="175" customFormat="1" ht="21" customHeight="1">
      <c r="B11" s="409" t="s">
        <v>93</v>
      </c>
      <c r="C11" s="409"/>
      <c r="D11" s="409"/>
      <c r="E11" s="409"/>
    </row>
    <row r="12" spans="2:13" s="183" customFormat="1" ht="21" customHeight="1">
      <c r="B12" s="410" t="s">
        <v>30</v>
      </c>
      <c r="C12" s="410" t="s">
        <v>94</v>
      </c>
      <c r="D12" s="411" t="s">
        <v>95</v>
      </c>
      <c r="E12" s="411"/>
      <c r="J12" s="408" t="s">
        <v>96</v>
      </c>
      <c r="K12" s="408"/>
      <c r="L12" s="408" t="s">
        <v>95</v>
      </c>
      <c r="M12" s="408"/>
    </row>
    <row r="13" spans="2:13" s="80" customFormat="1" ht="21" customHeight="1">
      <c r="B13" s="410"/>
      <c r="C13" s="410"/>
      <c r="D13" s="184" t="s">
        <v>97</v>
      </c>
      <c r="E13" s="184" t="s">
        <v>98</v>
      </c>
      <c r="J13" s="80" t="s">
        <v>97</v>
      </c>
      <c r="K13" s="80" t="s">
        <v>98</v>
      </c>
      <c r="L13" s="80" t="s">
        <v>97</v>
      </c>
      <c r="M13" s="80" t="s">
        <v>98</v>
      </c>
    </row>
    <row r="14" spans="2:13" s="80" customFormat="1" ht="21" customHeight="1">
      <c r="B14" s="410"/>
      <c r="C14" s="410"/>
      <c r="D14" s="184" t="s">
        <v>56</v>
      </c>
      <c r="E14" s="184" t="s">
        <v>56</v>
      </c>
      <c r="J14" s="80" t="s">
        <v>56</v>
      </c>
      <c r="K14" s="80" t="s">
        <v>56</v>
      </c>
      <c r="L14" s="80" t="s">
        <v>56</v>
      </c>
      <c r="M14" s="80" t="s">
        <v>56</v>
      </c>
    </row>
    <row r="15" spans="2:13" ht="26.25" customHeight="1">
      <c r="B15" s="413" t="s">
        <v>99</v>
      </c>
      <c r="C15" s="413"/>
      <c r="D15" s="413"/>
      <c r="E15" s="413"/>
      <c r="J15" s="185"/>
      <c r="K15" s="185"/>
      <c r="L15" s="185"/>
      <c r="M15" s="185"/>
    </row>
    <row r="16" spans="2:13" ht="26.25" customHeight="1">
      <c r="B16" s="186" t="s">
        <v>100</v>
      </c>
      <c r="C16" s="187" t="s">
        <v>101</v>
      </c>
      <c r="D16" s="188">
        <f>IF($D$12="COM DESONERAÇÃO",J16,L16)</f>
        <v>0.2</v>
      </c>
      <c r="E16" s="188">
        <f>IF($D$12="COM DESONERAÇÃO",K16,M16)</f>
        <v>0.2</v>
      </c>
      <c r="J16" s="185">
        <v>0</v>
      </c>
      <c r="K16" s="185">
        <v>0</v>
      </c>
      <c r="L16" s="185">
        <v>0.2</v>
      </c>
      <c r="M16" s="185">
        <v>0.2</v>
      </c>
    </row>
    <row r="17" spans="2:13" ht="26.25" customHeight="1">
      <c r="B17" s="189" t="s">
        <v>102</v>
      </c>
      <c r="C17" s="190" t="s">
        <v>103</v>
      </c>
      <c r="D17" s="191">
        <f t="shared" ref="D17:E25" si="0">IF($D$12="COM DESONERAÇÃO",J17,L17)</f>
        <v>1.4999999999999999E-2</v>
      </c>
      <c r="E17" s="191">
        <f t="shared" si="0"/>
        <v>1.4999999999999999E-2</v>
      </c>
      <c r="J17" s="185">
        <v>1.4999999999999999E-2</v>
      </c>
      <c r="K17" s="185">
        <v>1.4999999999999999E-2</v>
      </c>
      <c r="L17" s="185">
        <v>1.4999999999999999E-2</v>
      </c>
      <c r="M17" s="185">
        <v>1.4999999999999999E-2</v>
      </c>
    </row>
    <row r="18" spans="2:13" ht="26.25" customHeight="1">
      <c r="B18" s="186" t="s">
        <v>104</v>
      </c>
      <c r="C18" s="187" t="s">
        <v>105</v>
      </c>
      <c r="D18" s="188">
        <f t="shared" si="0"/>
        <v>0.01</v>
      </c>
      <c r="E18" s="188">
        <f t="shared" si="0"/>
        <v>0.01</v>
      </c>
      <c r="J18" s="185">
        <v>0.01</v>
      </c>
      <c r="K18" s="185">
        <v>0.01</v>
      </c>
      <c r="L18" s="185">
        <v>0.01</v>
      </c>
      <c r="M18" s="185">
        <v>0.01</v>
      </c>
    </row>
    <row r="19" spans="2:13" ht="26.25" customHeight="1">
      <c r="B19" s="189" t="s">
        <v>106</v>
      </c>
      <c r="C19" s="190" t="s">
        <v>107</v>
      </c>
      <c r="D19" s="191">
        <f t="shared" si="0"/>
        <v>2E-3</v>
      </c>
      <c r="E19" s="191">
        <f t="shared" si="0"/>
        <v>2E-3</v>
      </c>
      <c r="J19" s="185">
        <v>2E-3</v>
      </c>
      <c r="K19" s="185">
        <v>2E-3</v>
      </c>
      <c r="L19" s="185">
        <v>2E-3</v>
      </c>
      <c r="M19" s="185">
        <v>2E-3</v>
      </c>
    </row>
    <row r="20" spans="2:13" ht="26.25" customHeight="1">
      <c r="B20" s="186" t="s">
        <v>108</v>
      </c>
      <c r="C20" s="187" t="s">
        <v>109</v>
      </c>
      <c r="D20" s="188">
        <f t="shared" si="0"/>
        <v>6.0000000000000001E-3</v>
      </c>
      <c r="E20" s="188">
        <f t="shared" si="0"/>
        <v>6.0000000000000001E-3</v>
      </c>
      <c r="J20" s="185">
        <v>6.0000000000000001E-3</v>
      </c>
      <c r="K20" s="185">
        <v>6.0000000000000001E-3</v>
      </c>
      <c r="L20" s="185">
        <v>6.0000000000000001E-3</v>
      </c>
      <c r="M20" s="185">
        <v>6.0000000000000001E-3</v>
      </c>
    </row>
    <row r="21" spans="2:13" ht="26.25" customHeight="1">
      <c r="B21" s="189" t="s">
        <v>110</v>
      </c>
      <c r="C21" s="190" t="s">
        <v>111</v>
      </c>
      <c r="D21" s="191">
        <f t="shared" si="0"/>
        <v>2.5000000000000001E-2</v>
      </c>
      <c r="E21" s="191">
        <f t="shared" si="0"/>
        <v>2.5000000000000001E-2</v>
      </c>
      <c r="J21" s="185">
        <v>2.5000000000000001E-2</v>
      </c>
      <c r="K21" s="185">
        <v>2.5000000000000001E-2</v>
      </c>
      <c r="L21" s="185">
        <v>2.5000000000000001E-2</v>
      </c>
      <c r="M21" s="185">
        <v>2.5000000000000001E-2</v>
      </c>
    </row>
    <row r="22" spans="2:13" ht="26.25" customHeight="1">
      <c r="B22" s="186" t="s">
        <v>112</v>
      </c>
      <c r="C22" s="187" t="s">
        <v>113</v>
      </c>
      <c r="D22" s="188">
        <f t="shared" si="0"/>
        <v>0.03</v>
      </c>
      <c r="E22" s="188">
        <f t="shared" si="0"/>
        <v>0.03</v>
      </c>
      <c r="J22" s="185">
        <v>0.03</v>
      </c>
      <c r="K22" s="185">
        <v>0.03</v>
      </c>
      <c r="L22" s="185">
        <v>0.03</v>
      </c>
      <c r="M22" s="185">
        <v>0.03</v>
      </c>
    </row>
    <row r="23" spans="2:13" ht="26.25" customHeight="1">
      <c r="B23" s="189" t="s">
        <v>114</v>
      </c>
      <c r="C23" s="190" t="s">
        <v>115</v>
      </c>
      <c r="D23" s="191">
        <f t="shared" si="0"/>
        <v>0.08</v>
      </c>
      <c r="E23" s="191">
        <f t="shared" si="0"/>
        <v>0.08</v>
      </c>
      <c r="J23" s="185">
        <v>0.08</v>
      </c>
      <c r="K23" s="185">
        <v>0.08</v>
      </c>
      <c r="L23" s="185">
        <v>0.08</v>
      </c>
      <c r="M23" s="185">
        <v>0.08</v>
      </c>
    </row>
    <row r="24" spans="2:13" ht="26.25" customHeight="1">
      <c r="B24" s="186" t="s">
        <v>116</v>
      </c>
      <c r="C24" s="187" t="s">
        <v>117</v>
      </c>
      <c r="D24" s="188">
        <f t="shared" si="0"/>
        <v>0</v>
      </c>
      <c r="E24" s="188">
        <f t="shared" si="0"/>
        <v>0</v>
      </c>
      <c r="J24" s="185">
        <v>0</v>
      </c>
      <c r="K24" s="185">
        <v>0</v>
      </c>
      <c r="L24" s="185">
        <v>0</v>
      </c>
      <c r="M24" s="185">
        <v>0</v>
      </c>
    </row>
    <row r="25" spans="2:13" s="194" customFormat="1" ht="26.25" customHeight="1">
      <c r="B25" s="192" t="s">
        <v>118</v>
      </c>
      <c r="C25" s="192" t="s">
        <v>119</v>
      </c>
      <c r="D25" s="193">
        <f t="shared" si="0"/>
        <v>0.36800000000000005</v>
      </c>
      <c r="E25" s="193">
        <f t="shared" si="0"/>
        <v>0.36800000000000005</v>
      </c>
      <c r="J25" s="195">
        <f>SUM(J16:J24)</f>
        <v>0.16799999999999998</v>
      </c>
      <c r="K25" s="195">
        <f>SUM(K16:K24)</f>
        <v>0.16799999999999998</v>
      </c>
      <c r="L25" s="195">
        <f>SUM(L16:L24)</f>
        <v>0.36800000000000005</v>
      </c>
      <c r="M25" s="195">
        <f>SUM(M16:M24)</f>
        <v>0.36800000000000005</v>
      </c>
    </row>
    <row r="26" spans="2:13" ht="26.25" customHeight="1">
      <c r="B26" s="413" t="s">
        <v>120</v>
      </c>
      <c r="C26" s="413"/>
      <c r="D26" s="413"/>
      <c r="E26" s="413"/>
    </row>
    <row r="27" spans="2:13" ht="26.25" customHeight="1">
      <c r="B27" s="186" t="s">
        <v>121</v>
      </c>
      <c r="C27" s="187" t="s">
        <v>122</v>
      </c>
      <c r="D27" s="188">
        <f>IF($D$12="COM DESONERAÇÃO",J27,L27)</f>
        <v>0.17929999999999999</v>
      </c>
      <c r="E27" s="188" t="str">
        <f>IF($D$12="COM DESONERAÇÃO",K27,M27)</f>
        <v>Não incide</v>
      </c>
      <c r="J27" s="185">
        <v>0.17929999999999999</v>
      </c>
      <c r="K27" s="185" t="s">
        <v>123</v>
      </c>
      <c r="L27" s="185">
        <v>0.17929999999999999</v>
      </c>
      <c r="M27" s="185" t="s">
        <v>123</v>
      </c>
    </row>
    <row r="28" spans="2:13" ht="26.25" customHeight="1">
      <c r="B28" s="189" t="s">
        <v>124</v>
      </c>
      <c r="C28" s="190" t="s">
        <v>125</v>
      </c>
      <c r="D28" s="191">
        <f t="shared" ref="D28:E37" si="1">IF($D$12="COM DESONERAÇÃO",J28,L28)</f>
        <v>4.24E-2</v>
      </c>
      <c r="E28" s="191" t="str">
        <f t="shared" si="1"/>
        <v>Não incide</v>
      </c>
      <c r="J28" s="185">
        <v>4.24E-2</v>
      </c>
      <c r="K28" s="185" t="s">
        <v>123</v>
      </c>
      <c r="L28" s="185">
        <v>4.24E-2</v>
      </c>
      <c r="M28" s="185" t="s">
        <v>123</v>
      </c>
    </row>
    <row r="29" spans="2:13" ht="26.25" customHeight="1">
      <c r="B29" s="186" t="s">
        <v>126</v>
      </c>
      <c r="C29" s="187" t="s">
        <v>127</v>
      </c>
      <c r="D29" s="188">
        <f t="shared" si="1"/>
        <v>8.6E-3</v>
      </c>
      <c r="E29" s="188">
        <f t="shared" si="1"/>
        <v>6.6E-3</v>
      </c>
      <c r="J29" s="185">
        <v>8.6E-3</v>
      </c>
      <c r="K29" s="185">
        <v>6.6E-3</v>
      </c>
      <c r="L29" s="185">
        <v>8.6E-3</v>
      </c>
      <c r="M29" s="185">
        <v>6.6E-3</v>
      </c>
    </row>
    <row r="30" spans="2:13" ht="26.25" customHeight="1">
      <c r="B30" s="189" t="s">
        <v>128</v>
      </c>
      <c r="C30" s="190" t="s">
        <v>129</v>
      </c>
      <c r="D30" s="191">
        <f t="shared" si="1"/>
        <v>0.1094</v>
      </c>
      <c r="E30" s="191">
        <f t="shared" si="1"/>
        <v>8.3299999999999999E-2</v>
      </c>
      <c r="J30" s="185">
        <v>0.1094</v>
      </c>
      <c r="K30" s="185">
        <v>8.3299999999999999E-2</v>
      </c>
      <c r="L30" s="185">
        <v>0.1094</v>
      </c>
      <c r="M30" s="185">
        <v>8.3299999999999999E-2</v>
      </c>
    </row>
    <row r="31" spans="2:13" ht="26.25" customHeight="1">
      <c r="B31" s="186" t="s">
        <v>130</v>
      </c>
      <c r="C31" s="187" t="s">
        <v>131</v>
      </c>
      <c r="D31" s="188">
        <f t="shared" si="1"/>
        <v>6.9999999999999999E-4</v>
      </c>
      <c r="E31" s="188">
        <f t="shared" si="1"/>
        <v>5.0000000000000001E-4</v>
      </c>
      <c r="J31" s="185">
        <v>6.9999999999999999E-4</v>
      </c>
      <c r="K31" s="185">
        <v>5.0000000000000001E-4</v>
      </c>
      <c r="L31" s="185">
        <v>6.9999999999999999E-4</v>
      </c>
      <c r="M31" s="185">
        <v>5.0000000000000001E-4</v>
      </c>
    </row>
    <row r="32" spans="2:13" ht="26.25" customHeight="1">
      <c r="B32" s="189" t="s">
        <v>132</v>
      </c>
      <c r="C32" s="190" t="s">
        <v>133</v>
      </c>
      <c r="D32" s="191">
        <f t="shared" si="1"/>
        <v>7.3000000000000001E-3</v>
      </c>
      <c r="E32" s="191">
        <f t="shared" si="1"/>
        <v>5.5999999999999999E-3</v>
      </c>
      <c r="J32" s="185">
        <v>7.3000000000000001E-3</v>
      </c>
      <c r="K32" s="185">
        <v>5.5999999999999999E-3</v>
      </c>
      <c r="L32" s="185">
        <v>7.3000000000000001E-3</v>
      </c>
      <c r="M32" s="185">
        <v>5.5999999999999999E-3</v>
      </c>
    </row>
    <row r="33" spans="2:13" ht="26.25" customHeight="1">
      <c r="B33" s="186" t="s">
        <v>134</v>
      </c>
      <c r="C33" s="187" t="s">
        <v>135</v>
      </c>
      <c r="D33" s="188">
        <f t="shared" si="1"/>
        <v>1.5599999999999999E-2</v>
      </c>
      <c r="E33" s="188" t="str">
        <f t="shared" si="1"/>
        <v>Não incide</v>
      </c>
      <c r="J33" s="185">
        <v>1.5599999999999999E-2</v>
      </c>
      <c r="K33" s="185" t="s">
        <v>123</v>
      </c>
      <c r="L33" s="185">
        <v>1.5599999999999999E-2</v>
      </c>
      <c r="M33" s="185" t="s">
        <v>123</v>
      </c>
    </row>
    <row r="34" spans="2:13" ht="26.25" customHeight="1">
      <c r="B34" s="189" t="s">
        <v>136</v>
      </c>
      <c r="C34" s="190" t="s">
        <v>137</v>
      </c>
      <c r="D34" s="191">
        <f t="shared" si="1"/>
        <v>1E-3</v>
      </c>
      <c r="E34" s="191">
        <f t="shared" si="1"/>
        <v>8.0000000000000004E-4</v>
      </c>
      <c r="J34" s="185">
        <v>1E-3</v>
      </c>
      <c r="K34" s="185">
        <v>8.0000000000000004E-4</v>
      </c>
      <c r="L34" s="185">
        <v>1E-3</v>
      </c>
      <c r="M34" s="185">
        <v>8.0000000000000004E-4</v>
      </c>
    </row>
    <row r="35" spans="2:13" ht="26.25" customHeight="1">
      <c r="B35" s="186" t="s">
        <v>138</v>
      </c>
      <c r="C35" s="187" t="s">
        <v>139</v>
      </c>
      <c r="D35" s="188">
        <f t="shared" si="1"/>
        <v>0.1028</v>
      </c>
      <c r="E35" s="188">
        <f t="shared" si="1"/>
        <v>7.8299999999999995E-2</v>
      </c>
      <c r="J35" s="185">
        <v>0.1028</v>
      </c>
      <c r="K35" s="185">
        <v>7.8299999999999995E-2</v>
      </c>
      <c r="L35" s="185">
        <v>0.1028</v>
      </c>
      <c r="M35" s="185">
        <v>7.8299999999999995E-2</v>
      </c>
    </row>
    <row r="36" spans="2:13" ht="26.25" customHeight="1">
      <c r="B36" s="189" t="s">
        <v>140</v>
      </c>
      <c r="C36" s="190" t="s">
        <v>141</v>
      </c>
      <c r="D36" s="191">
        <f t="shared" si="1"/>
        <v>4.0000000000000002E-4</v>
      </c>
      <c r="E36" s="191">
        <f t="shared" si="1"/>
        <v>2.9999999999999997E-4</v>
      </c>
      <c r="J36" s="185">
        <v>4.0000000000000002E-4</v>
      </c>
      <c r="K36" s="185">
        <v>2.9999999999999997E-4</v>
      </c>
      <c r="L36" s="185">
        <v>4.0000000000000002E-4</v>
      </c>
      <c r="M36" s="185">
        <v>2.9999999999999997E-4</v>
      </c>
    </row>
    <row r="37" spans="2:13" ht="26.25" customHeight="1">
      <c r="B37" s="184" t="s">
        <v>142</v>
      </c>
      <c r="C37" s="184" t="s">
        <v>119</v>
      </c>
      <c r="D37" s="196">
        <f t="shared" si="1"/>
        <v>0.46749999999999997</v>
      </c>
      <c r="E37" s="196">
        <f t="shared" si="1"/>
        <v>0.17539999999999997</v>
      </c>
      <c r="J37" s="195">
        <f>SUM(J27:J36)</f>
        <v>0.46749999999999997</v>
      </c>
      <c r="K37" s="195">
        <f t="shared" ref="K37:M37" si="2">SUM(K27:K36)</f>
        <v>0.17539999999999997</v>
      </c>
      <c r="L37" s="195">
        <f>SUM(L27:L36)</f>
        <v>0.46749999999999997</v>
      </c>
      <c r="M37" s="195">
        <f t="shared" si="2"/>
        <v>0.17539999999999997</v>
      </c>
    </row>
    <row r="38" spans="2:13" ht="26.25" customHeight="1">
      <c r="B38" s="413" t="s">
        <v>143</v>
      </c>
      <c r="C38" s="413"/>
      <c r="D38" s="413"/>
      <c r="E38" s="413"/>
    </row>
    <row r="39" spans="2:13" ht="26.25" customHeight="1">
      <c r="B39" s="186" t="s">
        <v>144</v>
      </c>
      <c r="C39" s="187" t="s">
        <v>145</v>
      </c>
      <c r="D39" s="188">
        <f>IF($D$12="COM DESONERAÇÃO",J39,L39)</f>
        <v>4.5600000000000002E-2</v>
      </c>
      <c r="E39" s="188">
        <f>IF($D$12="COM DESONERAÇÃO",K39,M39)</f>
        <v>3.4700000000000002E-2</v>
      </c>
      <c r="J39" s="185">
        <v>4.5600000000000002E-2</v>
      </c>
      <c r="K39" s="185">
        <v>3.4700000000000002E-2</v>
      </c>
      <c r="L39" s="185">
        <v>4.5600000000000002E-2</v>
      </c>
      <c r="M39" s="185">
        <v>3.4700000000000002E-2</v>
      </c>
    </row>
    <row r="40" spans="2:13" ht="26.25" customHeight="1">
      <c r="B40" s="189" t="s">
        <v>146</v>
      </c>
      <c r="C40" s="190" t="s">
        <v>147</v>
      </c>
      <c r="D40" s="191">
        <f t="shared" ref="D40:E44" si="3">IF($D$12="COM DESONERAÇÃO",J40,L40)</f>
        <v>1.1000000000000001E-3</v>
      </c>
      <c r="E40" s="191">
        <f t="shared" si="3"/>
        <v>8.0000000000000004E-4</v>
      </c>
      <c r="J40" s="185">
        <v>1.1000000000000001E-3</v>
      </c>
      <c r="K40" s="185">
        <v>8.0000000000000004E-4</v>
      </c>
      <c r="L40" s="185">
        <v>1.1000000000000001E-3</v>
      </c>
      <c r="M40" s="185">
        <v>8.0000000000000004E-4</v>
      </c>
    </row>
    <row r="41" spans="2:13" ht="26.25" customHeight="1">
      <c r="B41" s="186" t="s">
        <v>148</v>
      </c>
      <c r="C41" s="187" t="s">
        <v>149</v>
      </c>
      <c r="D41" s="188">
        <f t="shared" si="3"/>
        <v>3.3500000000000002E-2</v>
      </c>
      <c r="E41" s="188">
        <f t="shared" si="3"/>
        <v>2.5499999999999998E-2</v>
      </c>
      <c r="J41" s="185">
        <v>3.3500000000000002E-2</v>
      </c>
      <c r="K41" s="185">
        <v>2.5499999999999998E-2</v>
      </c>
      <c r="L41" s="185">
        <v>3.3500000000000002E-2</v>
      </c>
      <c r="M41" s="185">
        <v>2.5499999999999998E-2</v>
      </c>
    </row>
    <row r="42" spans="2:13" ht="26.25" customHeight="1">
      <c r="B42" s="189" t="s">
        <v>150</v>
      </c>
      <c r="C42" s="190" t="s">
        <v>151</v>
      </c>
      <c r="D42" s="191">
        <f t="shared" si="3"/>
        <v>2.8299999999999999E-2</v>
      </c>
      <c r="E42" s="191">
        <f t="shared" si="3"/>
        <v>2.1499999999999998E-2</v>
      </c>
      <c r="J42" s="185">
        <v>2.8299999999999999E-2</v>
      </c>
      <c r="K42" s="185">
        <v>2.1499999999999998E-2</v>
      </c>
      <c r="L42" s="185">
        <v>2.8299999999999999E-2</v>
      </c>
      <c r="M42" s="185">
        <v>2.1499999999999998E-2</v>
      </c>
    </row>
    <row r="43" spans="2:13" ht="26.25" customHeight="1">
      <c r="B43" s="186" t="s">
        <v>152</v>
      </c>
      <c r="C43" s="187" t="s">
        <v>153</v>
      </c>
      <c r="D43" s="188">
        <f t="shared" si="3"/>
        <v>3.8E-3</v>
      </c>
      <c r="E43" s="188">
        <f t="shared" si="3"/>
        <v>2.8999999999999998E-3</v>
      </c>
      <c r="J43" s="185">
        <v>3.8E-3</v>
      </c>
      <c r="K43" s="185">
        <v>2.8999999999999998E-3</v>
      </c>
      <c r="L43" s="185">
        <v>3.8E-3</v>
      </c>
      <c r="M43" s="185">
        <v>2.8999999999999998E-3</v>
      </c>
    </row>
    <row r="44" spans="2:13" ht="26.25" customHeight="1">
      <c r="B44" s="192" t="s">
        <v>154</v>
      </c>
      <c r="C44" s="192" t="s">
        <v>119</v>
      </c>
      <c r="D44" s="193">
        <f t="shared" si="3"/>
        <v>0.11229999999999998</v>
      </c>
      <c r="E44" s="193">
        <f t="shared" si="3"/>
        <v>8.539999999999999E-2</v>
      </c>
      <c r="J44" s="195">
        <f>SUM(J39:J43)</f>
        <v>0.11229999999999998</v>
      </c>
      <c r="K44" s="195">
        <f t="shared" ref="K44:M44" si="4">SUM(K39:K43)</f>
        <v>8.539999999999999E-2</v>
      </c>
      <c r="L44" s="195">
        <f t="shared" si="4"/>
        <v>0.11229999999999998</v>
      </c>
      <c r="M44" s="195">
        <f t="shared" si="4"/>
        <v>8.539999999999999E-2</v>
      </c>
    </row>
    <row r="45" spans="2:13" ht="26.25" customHeight="1">
      <c r="B45" s="413" t="s">
        <v>155</v>
      </c>
      <c r="C45" s="413"/>
      <c r="D45" s="413"/>
      <c r="E45" s="413"/>
    </row>
    <row r="46" spans="2:13" ht="26.25" customHeight="1">
      <c r="B46" s="186" t="s">
        <v>156</v>
      </c>
      <c r="C46" s="187" t="s">
        <v>157</v>
      </c>
      <c r="D46" s="188">
        <f t="shared" ref="D46:E50" si="5">IF($D$12="COM DESONERAÇÃO",J46,L46)</f>
        <v>0.17199999999999999</v>
      </c>
      <c r="E46" s="188">
        <f t="shared" si="5"/>
        <v>6.4500000000000002E-2</v>
      </c>
      <c r="J46" s="185">
        <v>7.85E-2</v>
      </c>
      <c r="K46" s="185">
        <v>2.9499999999999998E-2</v>
      </c>
      <c r="L46" s="185">
        <v>0.17199999999999999</v>
      </c>
      <c r="M46" s="185">
        <v>6.4500000000000002E-2</v>
      </c>
    </row>
    <row r="47" spans="2:13" ht="26.25" customHeight="1">
      <c r="B47" s="189" t="s">
        <v>158</v>
      </c>
      <c r="C47" s="197" t="s">
        <v>159</v>
      </c>
      <c r="D47" s="191">
        <f t="shared" si="5"/>
        <v>4.1000000000000003E-3</v>
      </c>
      <c r="E47" s="191">
        <f t="shared" si="5"/>
        <v>3.0999999999999999E-3</v>
      </c>
      <c r="J47" s="185">
        <v>3.8E-3</v>
      </c>
      <c r="K47" s="185">
        <v>2.8999999999999998E-3</v>
      </c>
      <c r="L47" s="185">
        <v>4.1000000000000003E-3</v>
      </c>
      <c r="M47" s="185">
        <v>3.0999999999999999E-3</v>
      </c>
    </row>
    <row r="48" spans="2:13" ht="26.25" customHeight="1">
      <c r="B48" s="184" t="s">
        <v>160</v>
      </c>
      <c r="C48" s="184" t="s">
        <v>119</v>
      </c>
      <c r="D48" s="196">
        <f t="shared" si="5"/>
        <v>0.17609999999999998</v>
      </c>
      <c r="E48" s="196">
        <f t="shared" si="5"/>
        <v>6.7600000000000007E-2</v>
      </c>
      <c r="J48" s="195">
        <f>SUM(J46:J47)</f>
        <v>8.2299999999999998E-2</v>
      </c>
      <c r="K48" s="195">
        <f>SUM(K46:K47)</f>
        <v>3.2399999999999998E-2</v>
      </c>
      <c r="L48" s="195">
        <f>SUM(L46:L47)</f>
        <v>0.17609999999999998</v>
      </c>
      <c r="M48" s="195">
        <f>SUM(M46:M47)</f>
        <v>6.7600000000000007E-2</v>
      </c>
    </row>
    <row r="49" spans="2:13" ht="26.25" customHeight="1">
      <c r="B49" s="413" t="s">
        <v>161</v>
      </c>
      <c r="C49" s="413"/>
      <c r="D49" s="198">
        <f t="shared" si="5"/>
        <v>1.1238999999999999</v>
      </c>
      <c r="E49" s="198">
        <f t="shared" si="5"/>
        <v>0.69640000000000002</v>
      </c>
      <c r="J49" s="195">
        <f>SUM(J25,J37,J44,J48)</f>
        <v>0.83009999999999995</v>
      </c>
      <c r="K49" s="195">
        <f t="shared" ref="K49:M49" si="6">SUM(K25,K37,K44,K48)</f>
        <v>0.46119999999999989</v>
      </c>
      <c r="L49" s="195">
        <f t="shared" si="6"/>
        <v>1.1238999999999999</v>
      </c>
      <c r="M49" s="195">
        <f t="shared" si="6"/>
        <v>0.69640000000000002</v>
      </c>
    </row>
    <row r="50" spans="2:13" ht="26.25" customHeight="1">
      <c r="B50" s="413" t="s">
        <v>162</v>
      </c>
      <c r="C50" s="413"/>
      <c r="D50" s="414">
        <f t="shared" si="5"/>
        <v>0.91015000000000001</v>
      </c>
      <c r="E50" s="415"/>
      <c r="I50" s="194" t="s">
        <v>163</v>
      </c>
      <c r="J50" s="412">
        <f>AVERAGE(J49:K49)</f>
        <v>0.64564999999999995</v>
      </c>
      <c r="K50" s="412"/>
      <c r="L50" s="412">
        <f>AVERAGE(L49:M49)</f>
        <v>0.91015000000000001</v>
      </c>
      <c r="M50" s="412"/>
    </row>
    <row r="51" spans="2:13" ht="21" customHeight="1"/>
    <row r="52" spans="2:13" ht="21" customHeight="1">
      <c r="B52" s="199"/>
      <c r="D52" s="199"/>
      <c r="E52" s="199"/>
    </row>
    <row r="53" spans="2:13" ht="21" customHeight="1">
      <c r="B53" s="125"/>
      <c r="E53" s="125"/>
    </row>
    <row r="54" spans="2:13" ht="21" customHeight="1">
      <c r="B54" s="125"/>
      <c r="C54" s="80" t="str">
        <f>'Orçamento '!C102</f>
        <v>RESPONSÁVEL TÉCNICO</v>
      </c>
      <c r="D54" s="81" t="str">
        <f>'Orçamento '!E102</f>
        <v>PREFEITURA MUNICIPAL</v>
      </c>
      <c r="E54" s="125"/>
    </row>
    <row r="55" spans="2:13" ht="21" customHeight="1">
      <c r="B55" s="125"/>
      <c r="C55" s="82"/>
      <c r="D55" s="81" t="str">
        <f>'Orçamento '!E103</f>
        <v>CRUZEIRO DO SUL/RS</v>
      </c>
      <c r="E55" s="125"/>
    </row>
  </sheetData>
  <mergeCells count="15">
    <mergeCell ref="J50:K50"/>
    <mergeCell ref="L50:M50"/>
    <mergeCell ref="B15:E15"/>
    <mergeCell ref="B26:E26"/>
    <mergeCell ref="B38:E38"/>
    <mergeCell ref="B45:E45"/>
    <mergeCell ref="B49:C49"/>
    <mergeCell ref="B50:C50"/>
    <mergeCell ref="D50:E50"/>
    <mergeCell ref="L12:M12"/>
    <mergeCell ref="B11:E11"/>
    <mergeCell ref="B12:B14"/>
    <mergeCell ref="C12:C14"/>
    <mergeCell ref="D12:E12"/>
    <mergeCell ref="J12:K12"/>
  </mergeCells>
  <dataValidations disablePrompts="1" count="1">
    <dataValidation type="list" allowBlank="1" showInputMessage="1" showErrorMessage="1" sqref="D12:E12">
      <formula1>"COM DESONERAÇÃO,SEM DESONERAÇÃO"</formula1>
    </dataValidation>
  </dataValidations>
  <printOptions horizontalCentered="1"/>
  <pageMargins left="0.51181102362204722" right="0.51181102362204722" top="0.39370078740157483" bottom="0.19685039370078741" header="0.31496062992125984" footer="0.31496062992125984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J251"/>
  <sheetViews>
    <sheetView tabSelected="1" view="pageBreakPreview" topLeftCell="A7" zoomScale="70" zoomScaleNormal="100" zoomScaleSheetLayoutView="70" workbookViewId="0">
      <selection activeCell="F32" sqref="F32"/>
    </sheetView>
  </sheetViews>
  <sheetFormatPr defaultRowHeight="15.75"/>
  <cols>
    <col min="1" max="1" width="15.28515625" style="238" customWidth="1"/>
    <col min="2" max="2" width="15.140625" style="238" bestFit="1" customWidth="1"/>
    <col min="3" max="3" width="78" style="238" customWidth="1"/>
    <col min="4" max="4" width="11.140625" style="238" bestFit="1" customWidth="1"/>
    <col min="5" max="5" width="16.28515625" style="238" bestFit="1" customWidth="1"/>
    <col min="6" max="6" width="17.5703125" style="238" bestFit="1" customWidth="1"/>
    <col min="7" max="7" width="17.140625" style="238" bestFit="1" customWidth="1"/>
    <col min="8" max="8" width="9.140625" style="238"/>
    <col min="9" max="10" width="9.28515625" style="238" bestFit="1" customWidth="1"/>
    <col min="11" max="16384" width="9.140625" style="238"/>
  </cols>
  <sheetData>
    <row r="1" spans="1:7" ht="23.25" customHeight="1">
      <c r="A1" s="416" t="s">
        <v>513</v>
      </c>
      <c r="B1" s="416"/>
      <c r="C1" s="416"/>
      <c r="D1" s="416"/>
      <c r="E1" s="416"/>
      <c r="F1" s="416"/>
      <c r="G1" s="416"/>
    </row>
    <row r="2" spans="1:7" ht="8.25" customHeight="1"/>
    <row r="3" spans="1:7" ht="31.5">
      <c r="A3" s="239" t="s">
        <v>319</v>
      </c>
      <c r="B3" s="239" t="s">
        <v>193</v>
      </c>
      <c r="C3" s="240" t="s">
        <v>94</v>
      </c>
      <c r="D3" s="239" t="s">
        <v>194</v>
      </c>
      <c r="E3" s="241" t="s">
        <v>195</v>
      </c>
      <c r="F3" s="239" t="s">
        <v>321</v>
      </c>
      <c r="G3" s="241" t="s">
        <v>322</v>
      </c>
    </row>
    <row r="4" spans="1:7" ht="22.5" customHeight="1">
      <c r="A4" s="242" t="s">
        <v>308</v>
      </c>
      <c r="B4" s="243" t="s">
        <v>177</v>
      </c>
      <c r="C4" s="244" t="s">
        <v>399</v>
      </c>
      <c r="D4" s="245" t="s">
        <v>40</v>
      </c>
      <c r="E4" s="246" t="s">
        <v>198</v>
      </c>
      <c r="F4" s="246"/>
      <c r="G4" s="247"/>
    </row>
    <row r="5" spans="1:7" ht="26.25" customHeight="1">
      <c r="A5" s="245" t="s">
        <v>203</v>
      </c>
      <c r="B5" s="248">
        <v>34723</v>
      </c>
      <c r="C5" s="249" t="s">
        <v>345</v>
      </c>
      <c r="D5" s="248" t="s">
        <v>32</v>
      </c>
      <c r="E5" s="248">
        <v>4.5</v>
      </c>
      <c r="F5" s="251">
        <v>577.5</v>
      </c>
      <c r="G5" s="251">
        <f t="shared" ref="G5:G9" si="0">TRUNC(E5*F5,2)</f>
        <v>2598.75</v>
      </c>
    </row>
    <row r="6" spans="1:7" ht="31.5">
      <c r="A6" s="252" t="s">
        <v>203</v>
      </c>
      <c r="B6" s="315">
        <v>4491</v>
      </c>
      <c r="C6" s="253" t="s">
        <v>279</v>
      </c>
      <c r="D6" s="252" t="s">
        <v>37</v>
      </c>
      <c r="E6" s="254">
        <v>8</v>
      </c>
      <c r="F6" s="251">
        <v>7.05</v>
      </c>
      <c r="G6" s="256">
        <f t="shared" si="0"/>
        <v>56.4</v>
      </c>
    </row>
    <row r="7" spans="1:7" ht="26.25" customHeight="1">
      <c r="A7" s="245" t="s">
        <v>209</v>
      </c>
      <c r="B7" s="248">
        <v>88309</v>
      </c>
      <c r="C7" s="249" t="s">
        <v>294</v>
      </c>
      <c r="D7" s="248" t="s">
        <v>170</v>
      </c>
      <c r="E7" s="248">
        <v>2</v>
      </c>
      <c r="F7" s="250">
        <v>26.68</v>
      </c>
      <c r="G7" s="251">
        <f t="shared" si="0"/>
        <v>53.36</v>
      </c>
    </row>
    <row r="8" spans="1:7" ht="26.25" customHeight="1">
      <c r="A8" s="245" t="s">
        <v>209</v>
      </c>
      <c r="B8" s="248">
        <v>88316</v>
      </c>
      <c r="C8" s="249" t="s">
        <v>173</v>
      </c>
      <c r="D8" s="248" t="s">
        <v>170</v>
      </c>
      <c r="E8" s="248">
        <v>2</v>
      </c>
      <c r="F8" s="250">
        <v>22.015000000000001</v>
      </c>
      <c r="G8" s="251">
        <f t="shared" si="0"/>
        <v>44.03</v>
      </c>
    </row>
    <row r="9" spans="1:7" ht="47.25">
      <c r="A9" s="245" t="s">
        <v>209</v>
      </c>
      <c r="B9" s="248">
        <v>94964</v>
      </c>
      <c r="C9" s="257" t="s">
        <v>346</v>
      </c>
      <c r="D9" s="248" t="s">
        <v>33</v>
      </c>
      <c r="E9" s="248">
        <f>ROUND(((PI()*0.15^2)*ROUND(0.8*2,2)),2)</f>
        <v>0.11</v>
      </c>
      <c r="F9" s="250">
        <v>465.38</v>
      </c>
      <c r="G9" s="251">
        <f t="shared" si="0"/>
        <v>51.19</v>
      </c>
    </row>
    <row r="10" spans="1:7" ht="24.75" customHeight="1">
      <c r="A10" s="258"/>
      <c r="B10" s="258"/>
      <c r="C10" s="259"/>
      <c r="D10" s="260"/>
      <c r="E10" s="247" t="s">
        <v>307</v>
      </c>
      <c r="F10" s="261"/>
      <c r="G10" s="247">
        <f>SUM(G5:G9)</f>
        <v>2803.7300000000005</v>
      </c>
    </row>
    <row r="11" spans="1:7" ht="24.75" customHeight="1">
      <c r="A11" s="258"/>
      <c r="B11" s="258"/>
      <c r="C11" s="259"/>
      <c r="D11" s="260"/>
      <c r="E11" s="262" t="s">
        <v>39</v>
      </c>
      <c r="F11" s="263">
        <v>0.24229999999999999</v>
      </c>
      <c r="G11" s="264">
        <f>TRUNC(G10*F11,2)</f>
        <v>679.34</v>
      </c>
    </row>
    <row r="12" spans="1:7" ht="24.75" customHeight="1">
      <c r="A12" s="258"/>
      <c r="B12" s="258"/>
      <c r="C12" s="259"/>
      <c r="D12" s="260"/>
      <c r="E12" s="265" t="s">
        <v>276</v>
      </c>
      <c r="F12" s="266"/>
      <c r="G12" s="247">
        <f>SUM(G10+G11)</f>
        <v>3483.0700000000006</v>
      </c>
    </row>
    <row r="13" spans="1:7" ht="12.75" customHeight="1">
      <c r="A13" s="258"/>
      <c r="B13" s="258"/>
      <c r="C13" s="267"/>
      <c r="D13" s="258"/>
      <c r="E13" s="268"/>
      <c r="F13" s="269"/>
      <c r="G13" s="270"/>
    </row>
    <row r="14" spans="1:7" ht="31.5">
      <c r="A14" s="239" t="s">
        <v>319</v>
      </c>
      <c r="B14" s="239" t="s">
        <v>193</v>
      </c>
      <c r="C14" s="240" t="s">
        <v>94</v>
      </c>
      <c r="D14" s="239" t="s">
        <v>194</v>
      </c>
      <c r="E14" s="241" t="s">
        <v>195</v>
      </c>
      <c r="F14" s="239" t="s">
        <v>321</v>
      </c>
      <c r="G14" s="241" t="s">
        <v>322</v>
      </c>
    </row>
    <row r="15" spans="1:7" ht="38.25" customHeight="1">
      <c r="A15" s="242" t="s">
        <v>308</v>
      </c>
      <c r="B15" s="243" t="s">
        <v>196</v>
      </c>
      <c r="C15" s="271" t="s">
        <v>166</v>
      </c>
      <c r="D15" s="242" t="s">
        <v>32</v>
      </c>
      <c r="E15" s="242"/>
      <c r="F15" s="242"/>
      <c r="G15" s="247"/>
    </row>
    <row r="16" spans="1:7" ht="31.5">
      <c r="A16" s="272" t="s">
        <v>203</v>
      </c>
      <c r="B16" s="316">
        <v>4460</v>
      </c>
      <c r="C16" s="273" t="s">
        <v>167</v>
      </c>
      <c r="D16" s="248" t="s">
        <v>168</v>
      </c>
      <c r="E16" s="274">
        <v>2.8860000000000001E-3</v>
      </c>
      <c r="F16" s="251">
        <v>5.61</v>
      </c>
      <c r="G16" s="251">
        <f t="shared" ref="G16:G22" si="1">TRUNC(E16*F16,2)</f>
        <v>0.01</v>
      </c>
    </row>
    <row r="17" spans="1:7" ht="24.75" customHeight="1">
      <c r="A17" s="272" t="s">
        <v>199</v>
      </c>
      <c r="B17" s="316">
        <v>90781</v>
      </c>
      <c r="C17" s="273" t="s">
        <v>169</v>
      </c>
      <c r="D17" s="248" t="s">
        <v>170</v>
      </c>
      <c r="E17" s="274">
        <v>7.4999999999999997E-3</v>
      </c>
      <c r="F17" s="250">
        <v>40.39</v>
      </c>
      <c r="G17" s="251">
        <f t="shared" si="1"/>
        <v>0.3</v>
      </c>
    </row>
    <row r="18" spans="1:7" ht="24.75" customHeight="1">
      <c r="A18" s="272" t="s">
        <v>199</v>
      </c>
      <c r="B18" s="316">
        <v>88253</v>
      </c>
      <c r="C18" s="273" t="s">
        <v>171</v>
      </c>
      <c r="D18" s="248" t="s">
        <v>170</v>
      </c>
      <c r="E18" s="274">
        <v>2.5000000000000001E-3</v>
      </c>
      <c r="F18" s="250">
        <v>19.239999999999998</v>
      </c>
      <c r="G18" s="251">
        <f t="shared" si="1"/>
        <v>0.04</v>
      </c>
    </row>
    <row r="19" spans="1:7" ht="24.75" customHeight="1">
      <c r="A19" s="272" t="s">
        <v>199</v>
      </c>
      <c r="B19" s="316">
        <v>88288</v>
      </c>
      <c r="C19" s="273" t="s">
        <v>172</v>
      </c>
      <c r="D19" s="248" t="s">
        <v>170</v>
      </c>
      <c r="E19" s="274">
        <v>2.5000000000000001E-3</v>
      </c>
      <c r="F19" s="250">
        <v>24.02</v>
      </c>
      <c r="G19" s="251">
        <f t="shared" si="1"/>
        <v>0.06</v>
      </c>
    </row>
    <row r="20" spans="1:7" ht="24.75" customHeight="1">
      <c r="A20" s="272" t="s">
        <v>199</v>
      </c>
      <c r="B20" s="316">
        <v>88316</v>
      </c>
      <c r="C20" s="273" t="s">
        <v>173</v>
      </c>
      <c r="D20" s="248" t="s">
        <v>170</v>
      </c>
      <c r="E20" s="274">
        <v>7.4999999999999997E-3</v>
      </c>
      <c r="F20" s="250">
        <v>21.98</v>
      </c>
      <c r="G20" s="251">
        <f t="shared" si="1"/>
        <v>0.16</v>
      </c>
    </row>
    <row r="21" spans="1:7" ht="24.75" customHeight="1">
      <c r="A21" s="272" t="s">
        <v>199</v>
      </c>
      <c r="B21" s="316">
        <v>88597</v>
      </c>
      <c r="C21" s="273" t="s">
        <v>174</v>
      </c>
      <c r="D21" s="248" t="s">
        <v>170</v>
      </c>
      <c r="E21" s="274">
        <v>2E-3</v>
      </c>
      <c r="F21" s="250">
        <v>39.15</v>
      </c>
      <c r="G21" s="251">
        <f t="shared" si="1"/>
        <v>7.0000000000000007E-2</v>
      </c>
    </row>
    <row r="22" spans="1:7" ht="31.5">
      <c r="A22" s="272" t="s">
        <v>199</v>
      </c>
      <c r="B22" s="316">
        <v>92145</v>
      </c>
      <c r="C22" s="273" t="s">
        <v>175</v>
      </c>
      <c r="D22" s="248" t="s">
        <v>176</v>
      </c>
      <c r="E22" s="274">
        <v>1E-3</v>
      </c>
      <c r="F22" s="250">
        <v>73.55</v>
      </c>
      <c r="G22" s="251">
        <f t="shared" si="1"/>
        <v>7.0000000000000007E-2</v>
      </c>
    </row>
    <row r="23" spans="1:7" ht="24.75" customHeight="1">
      <c r="A23" s="258"/>
      <c r="B23" s="258"/>
      <c r="C23" s="259"/>
      <c r="D23" s="260"/>
      <c r="E23" s="247" t="s">
        <v>275</v>
      </c>
      <c r="F23" s="261"/>
      <c r="G23" s="247">
        <f>SUM(G16:G22)</f>
        <v>0.71</v>
      </c>
    </row>
    <row r="24" spans="1:7" ht="24.75" customHeight="1">
      <c r="A24" s="258"/>
      <c r="B24" s="258"/>
      <c r="C24" s="259"/>
      <c r="D24" s="260"/>
      <c r="E24" s="262" t="s">
        <v>39</v>
      </c>
      <c r="F24" s="263">
        <v>0.24229999999999999</v>
      </c>
      <c r="G24" s="264">
        <f>TRUNC(G23*F24,2)</f>
        <v>0.17</v>
      </c>
    </row>
    <row r="25" spans="1:7" ht="24.75" customHeight="1">
      <c r="A25" s="258"/>
      <c r="B25" s="258"/>
      <c r="C25" s="259"/>
      <c r="D25" s="260"/>
      <c r="E25" s="265" t="s">
        <v>276</v>
      </c>
      <c r="F25" s="266"/>
      <c r="G25" s="247">
        <f>SUM(G23+G24)</f>
        <v>0.88</v>
      </c>
    </row>
    <row r="27" spans="1:7" ht="31.5">
      <c r="A27" s="239" t="s">
        <v>319</v>
      </c>
      <c r="B27" s="239" t="s">
        <v>193</v>
      </c>
      <c r="C27" s="240" t="s">
        <v>94</v>
      </c>
      <c r="D27" s="239" t="s">
        <v>194</v>
      </c>
      <c r="E27" s="241" t="s">
        <v>195</v>
      </c>
      <c r="F27" s="239" t="s">
        <v>321</v>
      </c>
      <c r="G27" s="241" t="s">
        <v>322</v>
      </c>
    </row>
    <row r="28" spans="1:7" ht="23.25" customHeight="1">
      <c r="A28" s="242" t="s">
        <v>308</v>
      </c>
      <c r="B28" s="243" t="s">
        <v>213</v>
      </c>
      <c r="C28" s="244" t="s">
        <v>316</v>
      </c>
      <c r="D28" s="245" t="s">
        <v>40</v>
      </c>
      <c r="E28" s="246" t="s">
        <v>198</v>
      </c>
      <c r="F28" s="246"/>
      <c r="G28" s="247"/>
    </row>
    <row r="29" spans="1:7" ht="31.5">
      <c r="A29" s="275" t="s">
        <v>31</v>
      </c>
      <c r="B29" s="275" t="s">
        <v>310</v>
      </c>
      <c r="C29" s="276" t="s">
        <v>315</v>
      </c>
      <c r="D29" s="248" t="s">
        <v>176</v>
      </c>
      <c r="E29" s="277">
        <f>SUM(E30:E37)</f>
        <v>2.7199999999999998</v>
      </c>
      <c r="F29" s="255">
        <v>373.73680000000002</v>
      </c>
      <c r="G29" s="251">
        <f t="shared" ref="G29:G37" si="2">TRUNC(E29*F29,2)</f>
        <v>1016.56</v>
      </c>
    </row>
    <row r="30" spans="1:7" ht="31.5">
      <c r="A30" s="275" t="s">
        <v>199</v>
      </c>
      <c r="B30" s="317">
        <v>5632</v>
      </c>
      <c r="C30" s="276" t="s">
        <v>312</v>
      </c>
      <c r="D30" s="248" t="s">
        <v>202</v>
      </c>
      <c r="E30" s="277">
        <f>ROUND(13.6/40,2)</f>
        <v>0.34</v>
      </c>
      <c r="F30" s="250">
        <v>96.73</v>
      </c>
      <c r="G30" s="251">
        <f t="shared" si="2"/>
        <v>32.880000000000003</v>
      </c>
    </row>
    <row r="31" spans="1:7" ht="31.5">
      <c r="A31" s="275" t="s">
        <v>199</v>
      </c>
      <c r="B31" s="317">
        <v>5632</v>
      </c>
      <c r="C31" s="276" t="s">
        <v>312</v>
      </c>
      <c r="D31" s="248" t="s">
        <v>202</v>
      </c>
      <c r="E31" s="277">
        <f t="shared" ref="E31:E43" si="3">ROUND(13.6/40,2)</f>
        <v>0.34</v>
      </c>
      <c r="F31" s="250">
        <v>96.73</v>
      </c>
      <c r="G31" s="251">
        <f t="shared" si="2"/>
        <v>32.880000000000003</v>
      </c>
    </row>
    <row r="32" spans="1:7" ht="63">
      <c r="A32" s="275" t="s">
        <v>199</v>
      </c>
      <c r="B32" s="317">
        <v>5679</v>
      </c>
      <c r="C32" s="276" t="s">
        <v>287</v>
      </c>
      <c r="D32" s="248" t="s">
        <v>202</v>
      </c>
      <c r="E32" s="277">
        <f t="shared" si="3"/>
        <v>0.34</v>
      </c>
      <c r="F32" s="250">
        <v>68.64</v>
      </c>
      <c r="G32" s="251">
        <f>ROUNDUP(E32*F32,2)</f>
        <v>23.34</v>
      </c>
    </row>
    <row r="33" spans="1:7" ht="47.25">
      <c r="A33" s="275" t="s">
        <v>199</v>
      </c>
      <c r="B33" s="317">
        <v>5934</v>
      </c>
      <c r="C33" s="276" t="s">
        <v>313</v>
      </c>
      <c r="D33" s="248" t="s">
        <v>202</v>
      </c>
      <c r="E33" s="277">
        <f t="shared" si="3"/>
        <v>0.34</v>
      </c>
      <c r="F33" s="250">
        <v>103.18</v>
      </c>
      <c r="G33" s="251">
        <f t="shared" si="2"/>
        <v>35.08</v>
      </c>
    </row>
    <row r="34" spans="1:7" ht="47.25">
      <c r="A34" s="275" t="s">
        <v>199</v>
      </c>
      <c r="B34" s="317">
        <v>95632</v>
      </c>
      <c r="C34" s="276" t="s">
        <v>234</v>
      </c>
      <c r="D34" s="248" t="s">
        <v>202</v>
      </c>
      <c r="E34" s="277">
        <f t="shared" si="3"/>
        <v>0.34</v>
      </c>
      <c r="F34" s="250">
        <v>86.41</v>
      </c>
      <c r="G34" s="251">
        <f t="shared" si="2"/>
        <v>29.37</v>
      </c>
    </row>
    <row r="35" spans="1:7" ht="47.25">
      <c r="A35" s="275" t="s">
        <v>199</v>
      </c>
      <c r="B35" s="317">
        <v>96464</v>
      </c>
      <c r="C35" s="276" t="s">
        <v>242</v>
      </c>
      <c r="D35" s="248" t="s">
        <v>202</v>
      </c>
      <c r="E35" s="277">
        <f t="shared" si="3"/>
        <v>0.34</v>
      </c>
      <c r="F35" s="250">
        <v>92.92</v>
      </c>
      <c r="G35" s="251">
        <f t="shared" si="2"/>
        <v>31.59</v>
      </c>
    </row>
    <row r="36" spans="1:7" ht="31.5">
      <c r="A36" s="275" t="s">
        <v>199</v>
      </c>
      <c r="B36" s="317">
        <v>96014</v>
      </c>
      <c r="C36" s="276" t="s">
        <v>314</v>
      </c>
      <c r="D36" s="248" t="s">
        <v>202</v>
      </c>
      <c r="E36" s="277">
        <f t="shared" si="3"/>
        <v>0.34</v>
      </c>
      <c r="F36" s="250">
        <v>70.8</v>
      </c>
      <c r="G36" s="251">
        <f t="shared" si="2"/>
        <v>24.07</v>
      </c>
    </row>
    <row r="37" spans="1:7" ht="47.25">
      <c r="A37" s="275" t="s">
        <v>199</v>
      </c>
      <c r="B37" s="317">
        <v>5837</v>
      </c>
      <c r="C37" s="276" t="s">
        <v>227</v>
      </c>
      <c r="D37" s="248" t="s">
        <v>202</v>
      </c>
      <c r="E37" s="277">
        <f t="shared" si="3"/>
        <v>0.34</v>
      </c>
      <c r="F37" s="250">
        <v>162.35</v>
      </c>
      <c r="G37" s="251">
        <f t="shared" si="2"/>
        <v>55.19</v>
      </c>
    </row>
    <row r="38" spans="1:7" ht="63">
      <c r="A38" s="275" t="s">
        <v>199</v>
      </c>
      <c r="B38" s="317">
        <v>91386</v>
      </c>
      <c r="C38" s="276" t="s">
        <v>231</v>
      </c>
      <c r="D38" s="248" t="s">
        <v>176</v>
      </c>
      <c r="E38" s="277">
        <f t="shared" si="3"/>
        <v>0.34</v>
      </c>
      <c r="F38" s="250">
        <v>258.27</v>
      </c>
      <c r="G38" s="251">
        <f t="shared" ref="G38" si="4">TRUNC(E38*F38,2)</f>
        <v>87.81</v>
      </c>
    </row>
    <row r="39" spans="1:7" ht="63">
      <c r="A39" s="275" t="s">
        <v>199</v>
      </c>
      <c r="B39" s="317">
        <v>91386</v>
      </c>
      <c r="C39" s="276" t="s">
        <v>231</v>
      </c>
      <c r="D39" s="248" t="s">
        <v>176</v>
      </c>
      <c r="E39" s="277">
        <f t="shared" si="3"/>
        <v>0.34</v>
      </c>
      <c r="F39" s="250">
        <v>258.27</v>
      </c>
      <c r="G39" s="251">
        <f t="shared" ref="G39:G40" si="5">TRUNC(E39*F39,2)</f>
        <v>87.81</v>
      </c>
    </row>
    <row r="40" spans="1:7" ht="63">
      <c r="A40" s="275" t="s">
        <v>199</v>
      </c>
      <c r="B40" s="317">
        <v>91386</v>
      </c>
      <c r="C40" s="276" t="s">
        <v>231</v>
      </c>
      <c r="D40" s="248" t="s">
        <v>176</v>
      </c>
      <c r="E40" s="277">
        <f t="shared" si="3"/>
        <v>0.34</v>
      </c>
      <c r="F40" s="250">
        <v>258.27</v>
      </c>
      <c r="G40" s="251">
        <f t="shared" si="5"/>
        <v>87.81</v>
      </c>
    </row>
    <row r="41" spans="1:7" ht="63">
      <c r="A41" s="275" t="s">
        <v>199</v>
      </c>
      <c r="B41" s="317">
        <v>91386</v>
      </c>
      <c r="C41" s="276" t="s">
        <v>231</v>
      </c>
      <c r="D41" s="248" t="s">
        <v>176</v>
      </c>
      <c r="E41" s="277">
        <f t="shared" si="3"/>
        <v>0.34</v>
      </c>
      <c r="F41" s="250">
        <v>258.27</v>
      </c>
      <c r="G41" s="251">
        <f t="shared" ref="G41" si="6">TRUNC(E41*F41,2)</f>
        <v>87.81</v>
      </c>
    </row>
    <row r="42" spans="1:7" ht="47.25">
      <c r="A42" s="275" t="s">
        <v>199</v>
      </c>
      <c r="B42" s="317">
        <v>6259</v>
      </c>
      <c r="C42" s="276" t="s">
        <v>311</v>
      </c>
      <c r="D42" s="248" t="s">
        <v>176</v>
      </c>
      <c r="E42" s="277">
        <f t="shared" si="3"/>
        <v>0.34</v>
      </c>
      <c r="F42" s="250">
        <v>239.71</v>
      </c>
      <c r="G42" s="251">
        <f>TRUNC(E42*F42,2)</f>
        <v>81.5</v>
      </c>
    </row>
    <row r="43" spans="1:7" ht="63">
      <c r="A43" s="275" t="s">
        <v>199</v>
      </c>
      <c r="B43" s="317">
        <v>83362</v>
      </c>
      <c r="C43" s="276" t="s">
        <v>205</v>
      </c>
      <c r="D43" s="248" t="s">
        <v>176</v>
      </c>
      <c r="E43" s="277">
        <f t="shared" si="3"/>
        <v>0.34</v>
      </c>
      <c r="F43" s="250">
        <v>258.70999999999998</v>
      </c>
      <c r="G43" s="251">
        <f>TRUNC(E43*F43,2)</f>
        <v>87.96</v>
      </c>
    </row>
    <row r="44" spans="1:7" ht="24.75" customHeight="1">
      <c r="A44" s="258"/>
      <c r="B44" s="258"/>
      <c r="C44" s="259"/>
      <c r="D44" s="260"/>
      <c r="E44" s="247" t="s">
        <v>307</v>
      </c>
      <c r="F44" s="261"/>
      <c r="G44" s="247">
        <f>SUM(G29:G43)</f>
        <v>1801.6599999999996</v>
      </c>
    </row>
    <row r="45" spans="1:7" ht="24.75" customHeight="1">
      <c r="A45" s="258"/>
      <c r="B45" s="258"/>
      <c r="C45" s="259"/>
      <c r="D45" s="260"/>
      <c r="E45" s="262" t="s">
        <v>39</v>
      </c>
      <c r="F45" s="263">
        <v>0.24229999999999999</v>
      </c>
      <c r="G45" s="264">
        <f>TRUNC(G44*F45,2)</f>
        <v>436.54</v>
      </c>
    </row>
    <row r="46" spans="1:7" ht="24.75" customHeight="1">
      <c r="A46" s="258"/>
      <c r="B46" s="258"/>
      <c r="C46" s="259"/>
      <c r="D46" s="260"/>
      <c r="E46" s="265" t="s">
        <v>276</v>
      </c>
      <c r="F46" s="266"/>
      <c r="G46" s="247">
        <f>SUM(G44+G45)</f>
        <v>2238.1999999999998</v>
      </c>
    </row>
    <row r="48" spans="1:7" ht="31.5">
      <c r="A48" s="278" t="s">
        <v>319</v>
      </c>
      <c r="B48" s="278" t="s">
        <v>193</v>
      </c>
      <c r="C48" s="279" t="s">
        <v>94</v>
      </c>
      <c r="D48" s="278" t="s">
        <v>194</v>
      </c>
      <c r="E48" s="280" t="s">
        <v>195</v>
      </c>
      <c r="F48" s="278" t="s">
        <v>321</v>
      </c>
      <c r="G48" s="280" t="s">
        <v>322</v>
      </c>
    </row>
    <row r="49" spans="1:9" ht="23.25" customHeight="1">
      <c r="A49" s="242" t="s">
        <v>308</v>
      </c>
      <c r="B49" s="318">
        <v>4</v>
      </c>
      <c r="C49" s="281" t="s">
        <v>185</v>
      </c>
      <c r="D49" s="282" t="s">
        <v>188</v>
      </c>
      <c r="E49" s="283" t="s">
        <v>198</v>
      </c>
      <c r="F49" s="283"/>
      <c r="G49" s="247"/>
    </row>
    <row r="50" spans="1:9" ht="22.5" customHeight="1">
      <c r="A50" s="275" t="s">
        <v>199</v>
      </c>
      <c r="B50" s="316">
        <v>90778</v>
      </c>
      <c r="C50" s="284" t="s">
        <v>317</v>
      </c>
      <c r="D50" s="272" t="s">
        <v>170</v>
      </c>
      <c r="E50" s="285">
        <v>32</v>
      </c>
      <c r="F50" s="250">
        <v>127.33</v>
      </c>
      <c r="G50" s="256">
        <f t="shared" ref="G50:G55" si="7">TRUNC(E50*F50,2)</f>
        <v>4074.56</v>
      </c>
    </row>
    <row r="51" spans="1:9" ht="31.5">
      <c r="A51" s="275" t="s">
        <v>199</v>
      </c>
      <c r="B51" s="316">
        <v>92145</v>
      </c>
      <c r="C51" s="286" t="s">
        <v>175</v>
      </c>
      <c r="D51" s="272" t="s">
        <v>176</v>
      </c>
      <c r="E51" s="285">
        <v>8</v>
      </c>
      <c r="F51" s="250">
        <v>73.55</v>
      </c>
      <c r="G51" s="256">
        <f t="shared" ref="G51" si="8">TRUNC(E51*F51,2)</f>
        <v>588.4</v>
      </c>
    </row>
    <row r="52" spans="1:9" ht="21.75" customHeight="1">
      <c r="A52" s="275" t="s">
        <v>199</v>
      </c>
      <c r="B52" s="316">
        <v>90776</v>
      </c>
      <c r="C52" s="284" t="s">
        <v>259</v>
      </c>
      <c r="D52" s="272" t="s">
        <v>170</v>
      </c>
      <c r="E52" s="285">
        <v>64</v>
      </c>
      <c r="F52" s="250">
        <v>59.85</v>
      </c>
      <c r="G52" s="256">
        <f>TRUNC(E52*F52,2)</f>
        <v>3830.4</v>
      </c>
    </row>
    <row r="53" spans="1:9" ht="31.5">
      <c r="A53" s="275" t="s">
        <v>199</v>
      </c>
      <c r="B53" s="316">
        <v>92145</v>
      </c>
      <c r="C53" s="286" t="s">
        <v>175</v>
      </c>
      <c r="D53" s="272" t="s">
        <v>176</v>
      </c>
      <c r="E53" s="285">
        <v>16</v>
      </c>
      <c r="F53" s="250">
        <v>73.55</v>
      </c>
      <c r="G53" s="256">
        <f t="shared" ref="G53" si="9">TRUNC(E53*F53,2)</f>
        <v>1176.8</v>
      </c>
    </row>
    <row r="54" spans="1:9" ht="21.75" customHeight="1">
      <c r="A54" s="275" t="s">
        <v>199</v>
      </c>
      <c r="B54" s="316">
        <v>90767</v>
      </c>
      <c r="C54" s="284" t="s">
        <v>330</v>
      </c>
      <c r="D54" s="272" t="s">
        <v>170</v>
      </c>
      <c r="E54" s="285">
        <v>64</v>
      </c>
      <c r="F54" s="250">
        <v>25.35</v>
      </c>
      <c r="G54" s="256">
        <f t="shared" si="7"/>
        <v>1622.4</v>
      </c>
    </row>
    <row r="55" spans="1:9" ht="31.5">
      <c r="A55" s="275" t="s">
        <v>199</v>
      </c>
      <c r="B55" s="316">
        <v>92145</v>
      </c>
      <c r="C55" s="286" t="s">
        <v>175</v>
      </c>
      <c r="D55" s="272" t="s">
        <v>176</v>
      </c>
      <c r="E55" s="285">
        <v>16</v>
      </c>
      <c r="F55" s="250">
        <v>73.55</v>
      </c>
      <c r="G55" s="256">
        <f t="shared" si="7"/>
        <v>1176.8</v>
      </c>
    </row>
    <row r="56" spans="1:9" ht="24.75" customHeight="1">
      <c r="A56" s="258"/>
      <c r="B56" s="258"/>
      <c r="C56" s="267"/>
      <c r="D56" s="258"/>
      <c r="E56" s="247" t="s">
        <v>318</v>
      </c>
      <c r="F56" s="261"/>
      <c r="G56" s="247">
        <f>SUM(G50:G55)</f>
        <v>12469.359999999999</v>
      </c>
    </row>
    <row r="57" spans="1:9" ht="24.75" customHeight="1">
      <c r="A57" s="258"/>
      <c r="B57" s="258"/>
      <c r="C57" s="267"/>
      <c r="D57" s="258"/>
      <c r="E57" s="262" t="s">
        <v>39</v>
      </c>
      <c r="F57" s="263">
        <v>0.24229999999999999</v>
      </c>
      <c r="G57" s="264">
        <f>TRUNC(G56*F57,2)</f>
        <v>3021.32</v>
      </c>
    </row>
    <row r="58" spans="1:9" ht="24.75" customHeight="1">
      <c r="A58" s="258"/>
      <c r="B58" s="258"/>
      <c r="C58" s="267"/>
      <c r="D58" s="258"/>
      <c r="E58" s="265" t="s">
        <v>276</v>
      </c>
      <c r="F58" s="266"/>
      <c r="G58" s="247">
        <f>SUM(G56+G57)</f>
        <v>15490.679999999998</v>
      </c>
    </row>
    <row r="60" spans="1:9" ht="31.5">
      <c r="A60" s="239" t="s">
        <v>319</v>
      </c>
      <c r="B60" s="239" t="s">
        <v>193</v>
      </c>
      <c r="C60" s="240" t="s">
        <v>94</v>
      </c>
      <c r="D60" s="239" t="s">
        <v>194</v>
      </c>
      <c r="E60" s="241" t="s">
        <v>195</v>
      </c>
      <c r="F60" s="239" t="s">
        <v>321</v>
      </c>
      <c r="G60" s="241" t="s">
        <v>322</v>
      </c>
    </row>
    <row r="61" spans="1:9" ht="41.25" customHeight="1">
      <c r="A61" s="242" t="s">
        <v>308</v>
      </c>
      <c r="B61" s="318">
        <v>5</v>
      </c>
      <c r="C61" s="287" t="s">
        <v>197</v>
      </c>
      <c r="D61" s="288" t="s">
        <v>32</v>
      </c>
      <c r="E61" s="289" t="s">
        <v>198</v>
      </c>
      <c r="F61" s="290"/>
      <c r="G61" s="247"/>
    </row>
    <row r="62" spans="1:9" ht="31.5">
      <c r="A62" s="291" t="s">
        <v>199</v>
      </c>
      <c r="B62" s="319">
        <v>5839</v>
      </c>
      <c r="C62" s="292" t="s">
        <v>200</v>
      </c>
      <c r="D62" s="291" t="s">
        <v>176</v>
      </c>
      <c r="E62" s="293">
        <v>2E-3</v>
      </c>
      <c r="F62" s="250">
        <v>11.41</v>
      </c>
      <c r="G62" s="251">
        <f t="shared" ref="G62:G71" si="10">TRUNC(E62*F62,2)</f>
        <v>0.02</v>
      </c>
    </row>
    <row r="63" spans="1:9" ht="44.25" customHeight="1">
      <c r="A63" s="291" t="s">
        <v>199</v>
      </c>
      <c r="B63" s="319">
        <v>5841</v>
      </c>
      <c r="C63" s="292" t="s">
        <v>201</v>
      </c>
      <c r="D63" s="291" t="s">
        <v>202</v>
      </c>
      <c r="E63" s="293">
        <v>4.0000000000000001E-3</v>
      </c>
      <c r="F63" s="255">
        <v>5.74</v>
      </c>
      <c r="G63" s="251">
        <f t="shared" si="10"/>
        <v>0.02</v>
      </c>
      <c r="I63" s="294" t="s">
        <v>371</v>
      </c>
    </row>
    <row r="64" spans="1:9" ht="31.5">
      <c r="A64" s="291" t="s">
        <v>203</v>
      </c>
      <c r="B64" s="291" t="s">
        <v>391</v>
      </c>
      <c r="C64" s="292" t="s">
        <v>411</v>
      </c>
      <c r="D64" s="291" t="s">
        <v>204</v>
      </c>
      <c r="E64" s="293">
        <v>1.2</v>
      </c>
      <c r="F64" s="255">
        <f>ROUND(I64/(1-(17%+1.65%+7.6%+2%)),2)</f>
        <v>5.65</v>
      </c>
      <c r="G64" s="251">
        <f t="shared" si="10"/>
        <v>6.78</v>
      </c>
      <c r="I64" s="295">
        <v>4.0559897783431387</v>
      </c>
    </row>
    <row r="65" spans="1:9" ht="63">
      <c r="A65" s="291" t="s">
        <v>199</v>
      </c>
      <c r="B65" s="319">
        <v>83362</v>
      </c>
      <c r="C65" s="292" t="s">
        <v>205</v>
      </c>
      <c r="D65" s="291" t="s">
        <v>176</v>
      </c>
      <c r="E65" s="293">
        <v>1E-3</v>
      </c>
      <c r="F65" s="255">
        <v>258.70999999999998</v>
      </c>
      <c r="G65" s="251">
        <f t="shared" si="10"/>
        <v>0.25</v>
      </c>
    </row>
    <row r="66" spans="1:9" ht="24" customHeight="1">
      <c r="A66" s="291" t="s">
        <v>199</v>
      </c>
      <c r="B66" s="319">
        <v>88316</v>
      </c>
      <c r="C66" s="292" t="s">
        <v>173</v>
      </c>
      <c r="D66" s="291" t="s">
        <v>170</v>
      </c>
      <c r="E66" s="293">
        <v>5.7999999999999996E-3</v>
      </c>
      <c r="F66" s="250">
        <v>21.98</v>
      </c>
      <c r="G66" s="251">
        <f t="shared" si="10"/>
        <v>0.12</v>
      </c>
    </row>
    <row r="67" spans="1:9" ht="31.5">
      <c r="A67" s="291" t="s">
        <v>199</v>
      </c>
      <c r="B67" s="319">
        <v>89035</v>
      </c>
      <c r="C67" s="292" t="s">
        <v>206</v>
      </c>
      <c r="D67" s="291" t="s">
        <v>176</v>
      </c>
      <c r="E67" s="293">
        <v>1.6999999999999999E-3</v>
      </c>
      <c r="F67" s="250">
        <v>136.04</v>
      </c>
      <c r="G67" s="251">
        <f t="shared" si="10"/>
        <v>0.23</v>
      </c>
    </row>
    <row r="68" spans="1:9" ht="31.5">
      <c r="A68" s="291" t="s">
        <v>199</v>
      </c>
      <c r="B68" s="319">
        <v>89036</v>
      </c>
      <c r="C68" s="292" t="s">
        <v>207</v>
      </c>
      <c r="D68" s="291" t="s">
        <v>202</v>
      </c>
      <c r="E68" s="293">
        <v>4.1000000000000003E-3</v>
      </c>
      <c r="F68" s="250">
        <v>57.8</v>
      </c>
      <c r="G68" s="251">
        <f t="shared" si="10"/>
        <v>0.23</v>
      </c>
    </row>
    <row r="69" spans="1:9" ht="63">
      <c r="A69" s="291" t="s">
        <v>199</v>
      </c>
      <c r="B69" s="319">
        <v>91486</v>
      </c>
      <c r="C69" s="292" t="s">
        <v>208</v>
      </c>
      <c r="D69" s="291" t="s">
        <v>202</v>
      </c>
      <c r="E69" s="293">
        <v>4.8999999999999998E-3</v>
      </c>
      <c r="F69" s="250">
        <v>67.12</v>
      </c>
      <c r="G69" s="251">
        <f t="shared" si="10"/>
        <v>0.32</v>
      </c>
    </row>
    <row r="70" spans="1:9" ht="47.25">
      <c r="A70" s="245" t="s">
        <v>209</v>
      </c>
      <c r="B70" s="245">
        <v>102330</v>
      </c>
      <c r="C70" s="244" t="s">
        <v>210</v>
      </c>
      <c r="D70" s="245" t="s">
        <v>211</v>
      </c>
      <c r="E70" s="296">
        <f>ROUND(30*0.0012,2)</f>
        <v>0.04</v>
      </c>
      <c r="F70" s="250">
        <v>1.38</v>
      </c>
      <c r="G70" s="251">
        <f t="shared" si="10"/>
        <v>0.05</v>
      </c>
    </row>
    <row r="71" spans="1:9" ht="47.25">
      <c r="A71" s="245" t="s">
        <v>209</v>
      </c>
      <c r="B71" s="245">
        <v>102331</v>
      </c>
      <c r="C71" s="244" t="s">
        <v>212</v>
      </c>
      <c r="D71" s="245" t="s">
        <v>211</v>
      </c>
      <c r="E71" s="297">
        <f>ROUND(80*0.0012,2)</f>
        <v>0.1</v>
      </c>
      <c r="F71" s="250">
        <v>0.54</v>
      </c>
      <c r="G71" s="251">
        <f t="shared" si="10"/>
        <v>0.05</v>
      </c>
    </row>
    <row r="72" spans="1:9" ht="24.75" customHeight="1">
      <c r="A72" s="258"/>
      <c r="B72" s="258"/>
      <c r="C72" s="259"/>
      <c r="D72" s="260"/>
      <c r="E72" s="247" t="s">
        <v>275</v>
      </c>
      <c r="F72" s="261"/>
      <c r="G72" s="247">
        <f>SUM(G62:G71)</f>
        <v>8.0700000000000021</v>
      </c>
    </row>
    <row r="73" spans="1:9" ht="24.75" customHeight="1">
      <c r="A73" s="258"/>
      <c r="B73" s="258"/>
      <c r="C73" s="259"/>
      <c r="D73" s="260"/>
      <c r="E73" s="262" t="s">
        <v>39</v>
      </c>
      <c r="F73" s="263">
        <v>0.24229999999999999</v>
      </c>
      <c r="G73" s="264">
        <f>TRUNC(G72*F73,2)</f>
        <v>1.95</v>
      </c>
    </row>
    <row r="74" spans="1:9" ht="24.75" customHeight="1">
      <c r="A74" s="258"/>
      <c r="B74" s="258"/>
      <c r="C74" s="259"/>
      <c r="D74" s="260"/>
      <c r="E74" s="265" t="s">
        <v>276</v>
      </c>
      <c r="F74" s="266"/>
      <c r="G74" s="247">
        <f>SUM(G72+G73)</f>
        <v>10.020000000000001</v>
      </c>
    </row>
    <row r="76" spans="1:9" ht="31.5">
      <c r="A76" s="239" t="s">
        <v>319</v>
      </c>
      <c r="B76" s="239" t="s">
        <v>193</v>
      </c>
      <c r="C76" s="240" t="s">
        <v>94</v>
      </c>
      <c r="D76" s="239" t="s">
        <v>194</v>
      </c>
      <c r="E76" s="241" t="s">
        <v>195</v>
      </c>
      <c r="F76" s="239" t="s">
        <v>321</v>
      </c>
      <c r="G76" s="241" t="s">
        <v>322</v>
      </c>
    </row>
    <row r="77" spans="1:9" ht="42" customHeight="1">
      <c r="A77" s="242" t="s">
        <v>308</v>
      </c>
      <c r="B77" s="318">
        <v>6</v>
      </c>
      <c r="C77" s="244" t="s">
        <v>181</v>
      </c>
      <c r="D77" s="245" t="s">
        <v>32</v>
      </c>
      <c r="E77" s="246" t="s">
        <v>198</v>
      </c>
      <c r="F77" s="246"/>
      <c r="G77" s="247"/>
    </row>
    <row r="78" spans="1:9" ht="31.5">
      <c r="A78" s="245" t="s">
        <v>209</v>
      </c>
      <c r="B78" s="320">
        <v>5839</v>
      </c>
      <c r="C78" s="244" t="s">
        <v>200</v>
      </c>
      <c r="D78" s="245" t="s">
        <v>176</v>
      </c>
      <c r="E78" s="246" t="s">
        <v>214</v>
      </c>
      <c r="F78" s="250">
        <v>11.41</v>
      </c>
      <c r="G78" s="251">
        <f t="shared" ref="G78:G87" si="11">TRUNC(E78*F78,2)</f>
        <v>0.02</v>
      </c>
    </row>
    <row r="79" spans="1:9" ht="31.5">
      <c r="A79" s="245" t="s">
        <v>209</v>
      </c>
      <c r="B79" s="320">
        <v>5841</v>
      </c>
      <c r="C79" s="244" t="s">
        <v>201</v>
      </c>
      <c r="D79" s="245" t="s">
        <v>202</v>
      </c>
      <c r="E79" s="246" t="s">
        <v>215</v>
      </c>
      <c r="F79" s="250">
        <v>5.74</v>
      </c>
      <c r="G79" s="251">
        <f t="shared" si="11"/>
        <v>0.02</v>
      </c>
      <c r="I79" s="294" t="s">
        <v>371</v>
      </c>
    </row>
    <row r="80" spans="1:9" ht="47.25">
      <c r="A80" s="245" t="s">
        <v>203</v>
      </c>
      <c r="B80" s="245" t="s">
        <v>391</v>
      </c>
      <c r="C80" s="244" t="s">
        <v>410</v>
      </c>
      <c r="D80" s="245" t="s">
        <v>204</v>
      </c>
      <c r="E80" s="246" t="s">
        <v>216</v>
      </c>
      <c r="F80" s="255">
        <f>ROUND(I80/(1-(17%+1.65%+7.6%+2%)),2)</f>
        <v>3.7</v>
      </c>
      <c r="G80" s="251">
        <f t="shared" si="11"/>
        <v>1.66</v>
      </c>
      <c r="I80" s="295">
        <v>2.6577102024371473</v>
      </c>
    </row>
    <row r="81" spans="1:9" ht="63">
      <c r="A81" s="245" t="s">
        <v>209</v>
      </c>
      <c r="B81" s="320">
        <v>83362</v>
      </c>
      <c r="C81" s="244" t="s">
        <v>205</v>
      </c>
      <c r="D81" s="245" t="s">
        <v>176</v>
      </c>
      <c r="E81" s="246" t="s">
        <v>217</v>
      </c>
      <c r="F81" s="255">
        <v>258.70999999999998</v>
      </c>
      <c r="G81" s="251">
        <f t="shared" si="11"/>
        <v>0.1</v>
      </c>
    </row>
    <row r="82" spans="1:9" ht="27" customHeight="1">
      <c r="A82" s="245" t="s">
        <v>209</v>
      </c>
      <c r="B82" s="320">
        <v>88316</v>
      </c>
      <c r="C82" s="244" t="s">
        <v>173</v>
      </c>
      <c r="D82" s="245" t="s">
        <v>170</v>
      </c>
      <c r="E82" s="246" t="s">
        <v>218</v>
      </c>
      <c r="F82" s="250">
        <v>21.98</v>
      </c>
      <c r="G82" s="251">
        <f t="shared" si="11"/>
        <v>0.12</v>
      </c>
    </row>
    <row r="83" spans="1:9" ht="36.75" customHeight="1">
      <c r="A83" s="245" t="s">
        <v>209</v>
      </c>
      <c r="B83" s="320">
        <v>89035</v>
      </c>
      <c r="C83" s="244" t="s">
        <v>206</v>
      </c>
      <c r="D83" s="245" t="s">
        <v>176</v>
      </c>
      <c r="E83" s="246" t="s">
        <v>219</v>
      </c>
      <c r="F83" s="250">
        <v>136.04</v>
      </c>
      <c r="G83" s="251">
        <f t="shared" si="11"/>
        <v>0.23</v>
      </c>
    </row>
    <row r="84" spans="1:9" ht="38.25" customHeight="1">
      <c r="A84" s="245" t="s">
        <v>209</v>
      </c>
      <c r="B84" s="320">
        <v>89036</v>
      </c>
      <c r="C84" s="244" t="s">
        <v>207</v>
      </c>
      <c r="D84" s="245" t="s">
        <v>202</v>
      </c>
      <c r="E84" s="246" t="s">
        <v>220</v>
      </c>
      <c r="F84" s="250">
        <v>57.8</v>
      </c>
      <c r="G84" s="251">
        <f t="shared" si="11"/>
        <v>0.21</v>
      </c>
    </row>
    <row r="85" spans="1:9" ht="63">
      <c r="A85" s="245" t="s">
        <v>209</v>
      </c>
      <c r="B85" s="320">
        <v>91486</v>
      </c>
      <c r="C85" s="244" t="s">
        <v>208</v>
      </c>
      <c r="D85" s="245" t="s">
        <v>202</v>
      </c>
      <c r="E85" s="246" t="s">
        <v>221</v>
      </c>
      <c r="F85" s="250">
        <v>67.12</v>
      </c>
      <c r="G85" s="251">
        <f t="shared" si="11"/>
        <v>0.34</v>
      </c>
    </row>
    <row r="86" spans="1:9" ht="47.25">
      <c r="A86" s="245" t="s">
        <v>209</v>
      </c>
      <c r="B86" s="245">
        <v>102330</v>
      </c>
      <c r="C86" s="244" t="s">
        <v>210</v>
      </c>
      <c r="D86" s="245" t="s">
        <v>211</v>
      </c>
      <c r="E86" s="296">
        <f>ROUND(30*0.00045,2)</f>
        <v>0.01</v>
      </c>
      <c r="F86" s="250">
        <v>1.38</v>
      </c>
      <c r="G86" s="251">
        <f t="shared" si="11"/>
        <v>0.01</v>
      </c>
    </row>
    <row r="87" spans="1:9" ht="47.25">
      <c r="A87" s="245" t="s">
        <v>209</v>
      </c>
      <c r="B87" s="245">
        <v>102331</v>
      </c>
      <c r="C87" s="244" t="s">
        <v>212</v>
      </c>
      <c r="D87" s="245" t="s">
        <v>211</v>
      </c>
      <c r="E87" s="297">
        <f>ROUND(80*0.00045,2)</f>
        <v>0.04</v>
      </c>
      <c r="F87" s="250">
        <v>0.54</v>
      </c>
      <c r="G87" s="251">
        <f t="shared" si="11"/>
        <v>0.02</v>
      </c>
    </row>
    <row r="88" spans="1:9" ht="24.75" customHeight="1">
      <c r="A88" s="258"/>
      <c r="B88" s="258"/>
      <c r="C88" s="259"/>
      <c r="D88" s="260"/>
      <c r="E88" s="247" t="s">
        <v>275</v>
      </c>
      <c r="F88" s="261"/>
      <c r="G88" s="247">
        <f>SUM(G78:G87)</f>
        <v>2.7299999999999995</v>
      </c>
    </row>
    <row r="89" spans="1:9" ht="24.75" customHeight="1">
      <c r="A89" s="258"/>
      <c r="B89" s="258"/>
      <c r="C89" s="259"/>
      <c r="D89" s="260"/>
      <c r="E89" s="262" t="s">
        <v>39</v>
      </c>
      <c r="F89" s="263">
        <v>0.24229999999999999</v>
      </c>
      <c r="G89" s="264">
        <f>TRUNC(G88*F89,2)</f>
        <v>0.66</v>
      </c>
    </row>
    <row r="90" spans="1:9" ht="24.75" customHeight="1">
      <c r="A90" s="258"/>
      <c r="B90" s="258"/>
      <c r="C90" s="259"/>
      <c r="D90" s="260"/>
      <c r="E90" s="265" t="s">
        <v>276</v>
      </c>
      <c r="F90" s="266"/>
      <c r="G90" s="247">
        <f>SUM(G88+G89)</f>
        <v>3.3899999999999997</v>
      </c>
    </row>
    <row r="92" spans="1:9" ht="31.5">
      <c r="A92" s="239" t="s">
        <v>319</v>
      </c>
      <c r="B92" s="239" t="s">
        <v>193</v>
      </c>
      <c r="C92" s="240" t="s">
        <v>94</v>
      </c>
      <c r="D92" s="239" t="s">
        <v>194</v>
      </c>
      <c r="E92" s="241" t="s">
        <v>195</v>
      </c>
      <c r="F92" s="239" t="s">
        <v>321</v>
      </c>
      <c r="G92" s="241" t="s">
        <v>322</v>
      </c>
    </row>
    <row r="93" spans="1:9" ht="47.25">
      <c r="A93" s="242" t="s">
        <v>308</v>
      </c>
      <c r="B93" s="318">
        <v>7</v>
      </c>
      <c r="C93" s="244" t="s">
        <v>222</v>
      </c>
      <c r="D93" s="245" t="s">
        <v>33</v>
      </c>
      <c r="E93" s="246" t="s">
        <v>198</v>
      </c>
      <c r="F93" s="246"/>
      <c r="G93" s="247"/>
      <c r="I93" s="298"/>
    </row>
    <row r="94" spans="1:9" ht="47.25">
      <c r="A94" s="245" t="s">
        <v>209</v>
      </c>
      <c r="B94" s="252">
        <v>101021</v>
      </c>
      <c r="C94" s="253" t="s">
        <v>223</v>
      </c>
      <c r="D94" s="252" t="s">
        <v>35</v>
      </c>
      <c r="E94" s="299" t="s">
        <v>224</v>
      </c>
      <c r="F94" s="255">
        <f>G127</f>
        <v>426.83000000000004</v>
      </c>
      <c r="G94" s="251">
        <f t="shared" ref="G94:G104" si="12">TRUNC(E94*F94,2)</f>
        <v>1090.46</v>
      </c>
    </row>
    <row r="95" spans="1:9" ht="47.25">
      <c r="A95" s="245" t="s">
        <v>209</v>
      </c>
      <c r="B95" s="320">
        <v>5835</v>
      </c>
      <c r="C95" s="244" t="s">
        <v>225</v>
      </c>
      <c r="D95" s="245" t="s">
        <v>176</v>
      </c>
      <c r="E95" s="246" t="s">
        <v>226</v>
      </c>
      <c r="F95" s="255">
        <v>394.28</v>
      </c>
      <c r="G95" s="251">
        <f t="shared" si="12"/>
        <v>18.29</v>
      </c>
    </row>
    <row r="96" spans="1:9" ht="47.25">
      <c r="A96" s="245" t="s">
        <v>209</v>
      </c>
      <c r="B96" s="320">
        <v>5837</v>
      </c>
      <c r="C96" s="244" t="s">
        <v>227</v>
      </c>
      <c r="D96" s="245" t="s">
        <v>202</v>
      </c>
      <c r="E96" s="246" t="s">
        <v>228</v>
      </c>
      <c r="F96" s="250">
        <v>162.35</v>
      </c>
      <c r="G96" s="251">
        <f t="shared" si="12"/>
        <v>15.4</v>
      </c>
    </row>
    <row r="97" spans="1:7" ht="23.25" customHeight="1">
      <c r="A97" s="245" t="s">
        <v>209</v>
      </c>
      <c r="B97" s="320">
        <v>88314</v>
      </c>
      <c r="C97" s="244" t="s">
        <v>229</v>
      </c>
      <c r="D97" s="245" t="s">
        <v>170</v>
      </c>
      <c r="E97" s="246" t="s">
        <v>230</v>
      </c>
      <c r="F97" s="250">
        <v>24.63</v>
      </c>
      <c r="G97" s="251">
        <f t="shared" si="12"/>
        <v>27.83</v>
      </c>
    </row>
    <row r="98" spans="1:7" ht="63">
      <c r="A98" s="245" t="s">
        <v>209</v>
      </c>
      <c r="B98" s="320">
        <v>91386</v>
      </c>
      <c r="C98" s="244" t="s">
        <v>231</v>
      </c>
      <c r="D98" s="245" t="s">
        <v>176</v>
      </c>
      <c r="E98" s="246" t="s">
        <v>226</v>
      </c>
      <c r="F98" s="250">
        <v>258.27</v>
      </c>
      <c r="G98" s="251">
        <f t="shared" si="12"/>
        <v>11.98</v>
      </c>
    </row>
    <row r="99" spans="1:7" ht="47.25">
      <c r="A99" s="245" t="s">
        <v>209</v>
      </c>
      <c r="B99" s="320">
        <v>95631</v>
      </c>
      <c r="C99" s="244" t="s">
        <v>232</v>
      </c>
      <c r="D99" s="245" t="s">
        <v>176</v>
      </c>
      <c r="E99" s="246" t="s">
        <v>233</v>
      </c>
      <c r="F99" s="250">
        <v>225.41</v>
      </c>
      <c r="G99" s="251">
        <f t="shared" si="12"/>
        <v>18.14</v>
      </c>
    </row>
    <row r="100" spans="1:7" ht="47.25">
      <c r="A100" s="245" t="s">
        <v>209</v>
      </c>
      <c r="B100" s="320">
        <v>95632</v>
      </c>
      <c r="C100" s="244" t="s">
        <v>234</v>
      </c>
      <c r="D100" s="245" t="s">
        <v>202</v>
      </c>
      <c r="E100" s="246" t="s">
        <v>235</v>
      </c>
      <c r="F100" s="250">
        <v>86.41</v>
      </c>
      <c r="G100" s="251">
        <f t="shared" si="12"/>
        <v>5.24</v>
      </c>
    </row>
    <row r="101" spans="1:7" ht="31.5">
      <c r="A101" s="245" t="s">
        <v>209</v>
      </c>
      <c r="B101" s="320">
        <v>96155</v>
      </c>
      <c r="C101" s="244" t="s">
        <v>236</v>
      </c>
      <c r="D101" s="245" t="s">
        <v>202</v>
      </c>
      <c r="E101" s="246" t="s">
        <v>237</v>
      </c>
      <c r="F101" s="250">
        <v>63.28</v>
      </c>
      <c r="G101" s="251">
        <f t="shared" si="12"/>
        <v>6.77</v>
      </c>
    </row>
    <row r="102" spans="1:7" ht="31.5">
      <c r="A102" s="245" t="s">
        <v>209</v>
      </c>
      <c r="B102" s="320">
        <v>96157</v>
      </c>
      <c r="C102" s="244" t="s">
        <v>238</v>
      </c>
      <c r="D102" s="245" t="s">
        <v>176</v>
      </c>
      <c r="E102" s="246" t="s">
        <v>239</v>
      </c>
      <c r="F102" s="250">
        <v>146.24</v>
      </c>
      <c r="G102" s="251">
        <f t="shared" si="12"/>
        <v>4.9800000000000004</v>
      </c>
    </row>
    <row r="103" spans="1:7" ht="47.25">
      <c r="A103" s="245" t="s">
        <v>209</v>
      </c>
      <c r="B103" s="320">
        <v>96463</v>
      </c>
      <c r="C103" s="244" t="s">
        <v>240</v>
      </c>
      <c r="D103" s="245" t="s">
        <v>176</v>
      </c>
      <c r="E103" s="246" t="s">
        <v>241</v>
      </c>
      <c r="F103" s="250">
        <v>215.51</v>
      </c>
      <c r="G103" s="251">
        <f t="shared" si="12"/>
        <v>9.02</v>
      </c>
    </row>
    <row r="104" spans="1:7" ht="47.25">
      <c r="A104" s="245" t="s">
        <v>209</v>
      </c>
      <c r="B104" s="320">
        <v>96464</v>
      </c>
      <c r="C104" s="244" t="s">
        <v>242</v>
      </c>
      <c r="D104" s="245" t="s">
        <v>202</v>
      </c>
      <c r="E104" s="246" t="s">
        <v>243</v>
      </c>
      <c r="F104" s="250">
        <v>92.92</v>
      </c>
      <c r="G104" s="251">
        <f t="shared" si="12"/>
        <v>9.19</v>
      </c>
    </row>
    <row r="105" spans="1:7" ht="24.75" customHeight="1">
      <c r="A105" s="258"/>
      <c r="B105" s="258"/>
      <c r="C105" s="259"/>
      <c r="D105" s="260"/>
      <c r="E105" s="247" t="s">
        <v>277</v>
      </c>
      <c r="F105" s="261"/>
      <c r="G105" s="247">
        <f>SUM(G94:G104)</f>
        <v>1217.3000000000002</v>
      </c>
    </row>
    <row r="106" spans="1:7" ht="24.75" customHeight="1">
      <c r="A106" s="258"/>
      <c r="B106" s="258"/>
      <c r="C106" s="259"/>
      <c r="D106" s="260"/>
      <c r="E106" s="262" t="s">
        <v>39</v>
      </c>
      <c r="F106" s="263">
        <v>0.24229999999999999</v>
      </c>
      <c r="G106" s="264">
        <f>TRUNC(G105*F106,2)</f>
        <v>294.95</v>
      </c>
    </row>
    <row r="107" spans="1:7" ht="24.75" customHeight="1">
      <c r="A107" s="258"/>
      <c r="B107" s="258"/>
      <c r="C107" s="259"/>
      <c r="D107" s="260"/>
      <c r="E107" s="265" t="s">
        <v>276</v>
      </c>
      <c r="F107" s="266"/>
      <c r="G107" s="247">
        <f>SUM(G105+G106)</f>
        <v>1512.2500000000002</v>
      </c>
    </row>
    <row r="108" spans="1:7" ht="8.25" customHeight="1"/>
    <row r="109" spans="1:7" ht="31.5">
      <c r="A109" s="239" t="s">
        <v>319</v>
      </c>
      <c r="B109" s="239" t="s">
        <v>193</v>
      </c>
      <c r="C109" s="240" t="s">
        <v>94</v>
      </c>
      <c r="D109" s="239" t="s">
        <v>194</v>
      </c>
      <c r="E109" s="241" t="s">
        <v>195</v>
      </c>
      <c r="F109" s="239" t="s">
        <v>321</v>
      </c>
      <c r="G109" s="241" t="s">
        <v>322</v>
      </c>
    </row>
    <row r="110" spans="1:7" ht="47.25">
      <c r="A110" s="245" t="s">
        <v>320</v>
      </c>
      <c r="B110" s="320">
        <v>101021</v>
      </c>
      <c r="C110" s="244" t="s">
        <v>223</v>
      </c>
      <c r="D110" s="245" t="s">
        <v>35</v>
      </c>
      <c r="E110" s="246" t="s">
        <v>198</v>
      </c>
      <c r="F110" s="246"/>
      <c r="G110" s="247"/>
    </row>
    <row r="111" spans="1:7" ht="31.5">
      <c r="A111" s="245" t="s">
        <v>203</v>
      </c>
      <c r="B111" s="320">
        <v>370</v>
      </c>
      <c r="C111" s="244" t="s">
        <v>244</v>
      </c>
      <c r="D111" s="245" t="s">
        <v>33</v>
      </c>
      <c r="E111" s="246" t="s">
        <v>245</v>
      </c>
      <c r="F111" s="251">
        <v>85</v>
      </c>
      <c r="G111" s="251">
        <f t="shared" ref="G111:G126" si="13">TRUNC(E111*F111,2)</f>
        <v>27.6</v>
      </c>
    </row>
    <row r="112" spans="1:7">
      <c r="A112" s="245" t="s">
        <v>203</v>
      </c>
      <c r="B112" s="320">
        <v>1106</v>
      </c>
      <c r="C112" s="244" t="s">
        <v>246</v>
      </c>
      <c r="D112" s="245" t="s">
        <v>204</v>
      </c>
      <c r="E112" s="246" t="s">
        <v>247</v>
      </c>
      <c r="F112" s="251">
        <v>0.87</v>
      </c>
      <c r="G112" s="251">
        <f t="shared" si="13"/>
        <v>48.89</v>
      </c>
    </row>
    <row r="113" spans="1:10" ht="31.5">
      <c r="A113" s="245" t="s">
        <v>203</v>
      </c>
      <c r="B113" s="320">
        <v>4720</v>
      </c>
      <c r="C113" s="244" t="s">
        <v>248</v>
      </c>
      <c r="D113" s="245" t="s">
        <v>33</v>
      </c>
      <c r="E113" s="246" t="s">
        <v>249</v>
      </c>
      <c r="F113" s="251">
        <v>83.27</v>
      </c>
      <c r="G113" s="251">
        <f t="shared" si="13"/>
        <v>16.63</v>
      </c>
    </row>
    <row r="114" spans="1:10" ht="31.5">
      <c r="A114" s="245" t="s">
        <v>203</v>
      </c>
      <c r="B114" s="320">
        <v>4721</v>
      </c>
      <c r="C114" s="244" t="s">
        <v>250</v>
      </c>
      <c r="D114" s="245" t="s">
        <v>33</v>
      </c>
      <c r="E114" s="246" t="s">
        <v>251</v>
      </c>
      <c r="F114" s="251">
        <v>72.13</v>
      </c>
      <c r="G114" s="251">
        <f t="shared" si="13"/>
        <v>4.5</v>
      </c>
    </row>
    <row r="115" spans="1:10" ht="47.25">
      <c r="A115" s="245" t="s">
        <v>209</v>
      </c>
      <c r="B115" s="320">
        <v>5940</v>
      </c>
      <c r="C115" s="244" t="s">
        <v>252</v>
      </c>
      <c r="D115" s="245" t="s">
        <v>176</v>
      </c>
      <c r="E115" s="246" t="s">
        <v>253</v>
      </c>
      <c r="F115" s="250">
        <v>184.81</v>
      </c>
      <c r="G115" s="251">
        <f t="shared" si="13"/>
        <v>0.88</v>
      </c>
    </row>
    <row r="116" spans="1:10" ht="47.25">
      <c r="A116" s="245" t="s">
        <v>209</v>
      </c>
      <c r="B116" s="320">
        <v>5942</v>
      </c>
      <c r="C116" s="244" t="s">
        <v>254</v>
      </c>
      <c r="D116" s="245" t="s">
        <v>202</v>
      </c>
      <c r="E116" s="246" t="s">
        <v>255</v>
      </c>
      <c r="F116" s="250">
        <v>78.790000000000006</v>
      </c>
      <c r="G116" s="251">
        <f t="shared" si="13"/>
        <v>1.41</v>
      </c>
    </row>
    <row r="117" spans="1:10" ht="31.5">
      <c r="A117" s="245" t="s">
        <v>209</v>
      </c>
      <c r="B117" s="320">
        <v>7030</v>
      </c>
      <c r="C117" s="244" t="s">
        <v>256</v>
      </c>
      <c r="D117" s="245" t="s">
        <v>176</v>
      </c>
      <c r="E117" s="246" t="s">
        <v>257</v>
      </c>
      <c r="F117" s="250">
        <v>241.74</v>
      </c>
      <c r="G117" s="251">
        <f t="shared" si="13"/>
        <v>10.99</v>
      </c>
      <c r="I117" s="238" t="s">
        <v>371</v>
      </c>
    </row>
    <row r="118" spans="1:10" ht="31.5">
      <c r="A118" s="245" t="s">
        <v>203</v>
      </c>
      <c r="B118" s="245" t="s">
        <v>391</v>
      </c>
      <c r="C118" s="244" t="s">
        <v>409</v>
      </c>
      <c r="D118" s="245" t="s">
        <v>35</v>
      </c>
      <c r="E118" s="246" t="s">
        <v>258</v>
      </c>
      <c r="F118" s="255">
        <f>ROUND(J118/(1-(17%+1.65%+7.6%+2%)),2)</f>
        <v>4127.4799999999996</v>
      </c>
      <c r="G118" s="251">
        <f t="shared" si="13"/>
        <v>260.98</v>
      </c>
      <c r="I118" s="295">
        <v>2.96147439080484</v>
      </c>
      <c r="J118" s="294">
        <f>ROUND(I118*1000,2)</f>
        <v>2961.47</v>
      </c>
    </row>
    <row r="119" spans="1:10" ht="23.25" customHeight="1">
      <c r="A119" s="245" t="s">
        <v>209</v>
      </c>
      <c r="B119" s="320">
        <v>88316</v>
      </c>
      <c r="C119" s="244" t="s">
        <v>173</v>
      </c>
      <c r="D119" s="245" t="s">
        <v>170</v>
      </c>
      <c r="E119" s="246" t="s">
        <v>257</v>
      </c>
      <c r="F119" s="255">
        <v>21.98</v>
      </c>
      <c r="G119" s="251">
        <f t="shared" si="13"/>
        <v>1</v>
      </c>
    </row>
    <row r="120" spans="1:10" ht="23.25" customHeight="1">
      <c r="A120" s="245" t="s">
        <v>209</v>
      </c>
      <c r="B120" s="320">
        <v>90776</v>
      </c>
      <c r="C120" s="244" t="s">
        <v>259</v>
      </c>
      <c r="D120" s="245" t="s">
        <v>170</v>
      </c>
      <c r="E120" s="246" t="s">
        <v>260</v>
      </c>
      <c r="F120" s="255">
        <v>59.85</v>
      </c>
      <c r="G120" s="251">
        <f t="shared" si="13"/>
        <v>1.35</v>
      </c>
    </row>
    <row r="121" spans="1:10" ht="31.5">
      <c r="A121" s="245" t="s">
        <v>209</v>
      </c>
      <c r="B121" s="320">
        <v>93433</v>
      </c>
      <c r="C121" s="244" t="s">
        <v>261</v>
      </c>
      <c r="D121" s="245" t="s">
        <v>176</v>
      </c>
      <c r="E121" s="246" t="s">
        <v>262</v>
      </c>
      <c r="F121" s="250">
        <v>2340.65</v>
      </c>
      <c r="G121" s="251">
        <f t="shared" si="13"/>
        <v>41.19</v>
      </c>
    </row>
    <row r="122" spans="1:10" ht="31.5">
      <c r="A122" s="245" t="s">
        <v>209</v>
      </c>
      <c r="B122" s="320">
        <v>93434</v>
      </c>
      <c r="C122" s="244" t="s">
        <v>263</v>
      </c>
      <c r="D122" s="245" t="s">
        <v>202</v>
      </c>
      <c r="E122" s="246" t="s">
        <v>221</v>
      </c>
      <c r="F122" s="250">
        <v>269.45</v>
      </c>
      <c r="G122" s="251">
        <f t="shared" si="13"/>
        <v>1.37</v>
      </c>
    </row>
    <row r="123" spans="1:10" ht="31.5">
      <c r="A123" s="245" t="s">
        <v>209</v>
      </c>
      <c r="B123" s="320">
        <v>95872</v>
      </c>
      <c r="C123" s="244" t="s">
        <v>264</v>
      </c>
      <c r="D123" s="245" t="s">
        <v>176</v>
      </c>
      <c r="E123" s="246" t="s">
        <v>262</v>
      </c>
      <c r="F123" s="250">
        <v>263.91000000000003</v>
      </c>
      <c r="G123" s="251">
        <f t="shared" si="13"/>
        <v>4.6399999999999997</v>
      </c>
    </row>
    <row r="124" spans="1:10" ht="31.5">
      <c r="A124" s="245" t="s">
        <v>209</v>
      </c>
      <c r="B124" s="320">
        <v>95873</v>
      </c>
      <c r="C124" s="244" t="s">
        <v>265</v>
      </c>
      <c r="D124" s="245" t="s">
        <v>202</v>
      </c>
      <c r="E124" s="246" t="s">
        <v>221</v>
      </c>
      <c r="F124" s="250">
        <v>11.34</v>
      </c>
      <c r="G124" s="251">
        <f t="shared" si="13"/>
        <v>0.05</v>
      </c>
    </row>
    <row r="125" spans="1:10" ht="47.25">
      <c r="A125" s="245" t="s">
        <v>209</v>
      </c>
      <c r="B125" s="245">
        <v>102330</v>
      </c>
      <c r="C125" s="244" t="s">
        <v>210</v>
      </c>
      <c r="D125" s="245" t="s">
        <v>211</v>
      </c>
      <c r="E125" s="297">
        <f>ROUND(30*0.06323,2)</f>
        <v>1.9</v>
      </c>
      <c r="F125" s="250">
        <v>1.38</v>
      </c>
      <c r="G125" s="251">
        <f t="shared" si="13"/>
        <v>2.62</v>
      </c>
    </row>
    <row r="126" spans="1:10" ht="47.25">
      <c r="A126" s="245" t="s">
        <v>209</v>
      </c>
      <c r="B126" s="245">
        <v>102331</v>
      </c>
      <c r="C126" s="244" t="s">
        <v>212</v>
      </c>
      <c r="D126" s="245" t="s">
        <v>211</v>
      </c>
      <c r="E126" s="297">
        <f>ROUND(80*0.06323,2)</f>
        <v>5.0599999999999996</v>
      </c>
      <c r="F126" s="250">
        <v>0.54</v>
      </c>
      <c r="G126" s="251">
        <f t="shared" si="13"/>
        <v>2.73</v>
      </c>
    </row>
    <row r="127" spans="1:10" ht="24.75" customHeight="1">
      <c r="A127" s="258"/>
      <c r="B127" s="258"/>
      <c r="C127" s="259"/>
      <c r="D127" s="260"/>
      <c r="E127" s="247" t="s">
        <v>278</v>
      </c>
      <c r="F127" s="261"/>
      <c r="G127" s="247">
        <f>SUM(G111:G126)</f>
        <v>426.83000000000004</v>
      </c>
    </row>
    <row r="128" spans="1:10" ht="24.75" customHeight="1">
      <c r="A128" s="258"/>
      <c r="B128" s="258"/>
      <c r="C128" s="259"/>
      <c r="D128" s="260"/>
      <c r="E128" s="262" t="s">
        <v>39</v>
      </c>
      <c r="F128" s="263">
        <v>0.24229999999999999</v>
      </c>
      <c r="G128" s="264">
        <f>TRUNC(G127*F128,2)</f>
        <v>103.42</v>
      </c>
    </row>
    <row r="129" spans="1:7" ht="24.75" customHeight="1">
      <c r="A129" s="258"/>
      <c r="B129" s="258"/>
      <c r="C129" s="259"/>
      <c r="D129" s="260"/>
      <c r="E129" s="265" t="s">
        <v>276</v>
      </c>
      <c r="F129" s="266"/>
      <c r="G129" s="247">
        <f>SUM(G127+G128)</f>
        <v>530.25</v>
      </c>
    </row>
    <row r="130" spans="1:7" ht="9" customHeight="1"/>
    <row r="131" spans="1:7" ht="31.5">
      <c r="A131" s="239" t="s">
        <v>319</v>
      </c>
      <c r="B131" s="239" t="s">
        <v>193</v>
      </c>
      <c r="C131" s="240" t="s">
        <v>94</v>
      </c>
      <c r="D131" s="239" t="s">
        <v>194</v>
      </c>
      <c r="E131" s="241" t="s">
        <v>195</v>
      </c>
      <c r="F131" s="239" t="s">
        <v>321</v>
      </c>
      <c r="G131" s="241" t="s">
        <v>322</v>
      </c>
    </row>
    <row r="132" spans="1:7" ht="47.25">
      <c r="A132" s="242" t="s">
        <v>308</v>
      </c>
      <c r="B132" s="318">
        <v>8</v>
      </c>
      <c r="C132" s="244" t="s">
        <v>353</v>
      </c>
      <c r="D132" s="245" t="s">
        <v>37</v>
      </c>
      <c r="E132" s="246" t="s">
        <v>198</v>
      </c>
      <c r="F132" s="246"/>
      <c r="G132" s="247"/>
    </row>
    <row r="133" spans="1:7" ht="31.5">
      <c r="A133" s="245" t="s">
        <v>209</v>
      </c>
      <c r="B133" s="321">
        <v>5631</v>
      </c>
      <c r="C133" s="273" t="s">
        <v>354</v>
      </c>
      <c r="D133" s="248" t="s">
        <v>176</v>
      </c>
      <c r="E133" s="248" t="s">
        <v>360</v>
      </c>
      <c r="F133" s="250">
        <v>214.76</v>
      </c>
      <c r="G133" s="251">
        <f t="shared" ref="G133:G138" si="14">TRUNC(E133*F133,2)</f>
        <v>27.05</v>
      </c>
    </row>
    <row r="134" spans="1:7" ht="31.5">
      <c r="A134" s="245" t="s">
        <v>209</v>
      </c>
      <c r="B134" s="321">
        <v>5632</v>
      </c>
      <c r="C134" s="273" t="s">
        <v>312</v>
      </c>
      <c r="D134" s="248" t="s">
        <v>202</v>
      </c>
      <c r="E134" s="248" t="s">
        <v>361</v>
      </c>
      <c r="F134" s="250">
        <v>96.73</v>
      </c>
      <c r="G134" s="251">
        <f t="shared" si="14"/>
        <v>25.63</v>
      </c>
    </row>
    <row r="135" spans="1:7" ht="31.5">
      <c r="A135" s="248" t="s">
        <v>203</v>
      </c>
      <c r="B135" s="248">
        <v>37453</v>
      </c>
      <c r="C135" s="273" t="s">
        <v>355</v>
      </c>
      <c r="D135" s="248" t="s">
        <v>168</v>
      </c>
      <c r="E135" s="248" t="s">
        <v>362</v>
      </c>
      <c r="F135" s="251">
        <v>101.15</v>
      </c>
      <c r="G135" s="251">
        <f t="shared" si="14"/>
        <v>104.18</v>
      </c>
    </row>
    <row r="136" spans="1:7" ht="26.25" customHeight="1">
      <c r="A136" s="245" t="s">
        <v>209</v>
      </c>
      <c r="B136" s="321">
        <v>88246</v>
      </c>
      <c r="C136" s="273" t="s">
        <v>356</v>
      </c>
      <c r="D136" s="248" t="s">
        <v>170</v>
      </c>
      <c r="E136" s="248" t="s">
        <v>363</v>
      </c>
      <c r="F136" s="250">
        <v>31.85</v>
      </c>
      <c r="G136" s="251">
        <f t="shared" si="14"/>
        <v>18.88</v>
      </c>
    </row>
    <row r="137" spans="1:7" ht="26.25" customHeight="1">
      <c r="A137" s="245" t="s">
        <v>209</v>
      </c>
      <c r="B137" s="321">
        <v>88316</v>
      </c>
      <c r="C137" s="273" t="s">
        <v>173</v>
      </c>
      <c r="D137" s="248" t="s">
        <v>170</v>
      </c>
      <c r="E137" s="248" t="s">
        <v>364</v>
      </c>
      <c r="F137" s="250">
        <v>21.98</v>
      </c>
      <c r="G137" s="251">
        <f t="shared" si="14"/>
        <v>26.04</v>
      </c>
    </row>
    <row r="138" spans="1:7" ht="31.5">
      <c r="A138" s="245" t="s">
        <v>209</v>
      </c>
      <c r="B138" s="321">
        <v>88629</v>
      </c>
      <c r="C138" s="273" t="s">
        <v>357</v>
      </c>
      <c r="D138" s="248" t="s">
        <v>33</v>
      </c>
      <c r="E138" s="248" t="s">
        <v>365</v>
      </c>
      <c r="F138" s="250">
        <v>665.67</v>
      </c>
      <c r="G138" s="251">
        <f t="shared" si="14"/>
        <v>3.32</v>
      </c>
    </row>
    <row r="139" spans="1:7" ht="24.75" customHeight="1">
      <c r="A139" s="258"/>
      <c r="B139" s="258"/>
      <c r="C139" s="259"/>
      <c r="D139" s="260"/>
      <c r="E139" s="247" t="s">
        <v>359</v>
      </c>
      <c r="F139" s="261"/>
      <c r="G139" s="247">
        <f>SUM(G133:G138)</f>
        <v>205.1</v>
      </c>
    </row>
    <row r="140" spans="1:7" ht="24.75" customHeight="1">
      <c r="A140" s="258"/>
      <c r="B140" s="258"/>
      <c r="C140" s="259"/>
      <c r="D140" s="260"/>
      <c r="E140" s="262" t="s">
        <v>39</v>
      </c>
      <c r="F140" s="263">
        <v>0.24229999999999999</v>
      </c>
      <c r="G140" s="264">
        <f>TRUNC(G139*F140,2)</f>
        <v>49.69</v>
      </c>
    </row>
    <row r="141" spans="1:7" ht="24.75" customHeight="1">
      <c r="A141" s="258"/>
      <c r="B141" s="258"/>
      <c r="C141" s="259"/>
      <c r="D141" s="260"/>
      <c r="E141" s="265" t="s">
        <v>276</v>
      </c>
      <c r="F141" s="266"/>
      <c r="G141" s="247">
        <f>SUM(G139+G140)</f>
        <v>254.79</v>
      </c>
    </row>
    <row r="142" spans="1:7" ht="9" customHeight="1"/>
    <row r="143" spans="1:7" ht="31.5">
      <c r="A143" s="239" t="s">
        <v>319</v>
      </c>
      <c r="B143" s="239" t="s">
        <v>193</v>
      </c>
      <c r="C143" s="240" t="s">
        <v>94</v>
      </c>
      <c r="D143" s="239" t="s">
        <v>194</v>
      </c>
      <c r="E143" s="241" t="s">
        <v>195</v>
      </c>
      <c r="F143" s="239" t="s">
        <v>321</v>
      </c>
      <c r="G143" s="241" t="s">
        <v>322</v>
      </c>
    </row>
    <row r="144" spans="1:7" ht="47.25">
      <c r="A144" s="242" t="s">
        <v>308</v>
      </c>
      <c r="B144" s="318">
        <v>9</v>
      </c>
      <c r="C144" s="244" t="s">
        <v>309</v>
      </c>
      <c r="D144" s="245" t="s">
        <v>40</v>
      </c>
      <c r="E144" s="246" t="s">
        <v>198</v>
      </c>
      <c r="F144" s="246"/>
      <c r="G144" s="247"/>
    </row>
    <row r="145" spans="1:7" ht="31.5">
      <c r="A145" s="252" t="s">
        <v>203</v>
      </c>
      <c r="B145" s="315">
        <v>4491</v>
      </c>
      <c r="C145" s="253" t="s">
        <v>279</v>
      </c>
      <c r="D145" s="252" t="s">
        <v>37</v>
      </c>
      <c r="E145" s="300" t="s">
        <v>280</v>
      </c>
      <c r="F145" s="251">
        <v>7.05</v>
      </c>
      <c r="G145" s="256">
        <f t="shared" ref="G145:G159" si="15">TRUNC(E145*F145,2)</f>
        <v>2.19</v>
      </c>
    </row>
    <row r="146" spans="1:7" ht="31.5">
      <c r="A146" s="252" t="s">
        <v>203</v>
      </c>
      <c r="B146" s="315">
        <v>4517</v>
      </c>
      <c r="C146" s="253" t="s">
        <v>281</v>
      </c>
      <c r="D146" s="252" t="s">
        <v>37</v>
      </c>
      <c r="E146" s="300" t="s">
        <v>282</v>
      </c>
      <c r="F146" s="251">
        <v>2.46</v>
      </c>
      <c r="G146" s="256">
        <f t="shared" si="15"/>
        <v>0.9</v>
      </c>
    </row>
    <row r="147" spans="1:7" ht="33" customHeight="1">
      <c r="A147" s="252" t="s">
        <v>203</v>
      </c>
      <c r="B147" s="315">
        <v>5069</v>
      </c>
      <c r="C147" s="253" t="s">
        <v>283</v>
      </c>
      <c r="D147" s="252" t="s">
        <v>204</v>
      </c>
      <c r="E147" s="300" t="s">
        <v>284</v>
      </c>
      <c r="F147" s="251">
        <v>16.98</v>
      </c>
      <c r="G147" s="256">
        <f t="shared" si="15"/>
        <v>0.55000000000000004</v>
      </c>
    </row>
    <row r="148" spans="1:7" ht="63">
      <c r="A148" s="252" t="s">
        <v>209</v>
      </c>
      <c r="B148" s="315">
        <v>5678</v>
      </c>
      <c r="C148" s="253" t="s">
        <v>285</v>
      </c>
      <c r="D148" s="252" t="s">
        <v>176</v>
      </c>
      <c r="E148" s="300" t="s">
        <v>286</v>
      </c>
      <c r="F148" s="250">
        <v>146.58000000000001</v>
      </c>
      <c r="G148" s="256">
        <f t="shared" si="15"/>
        <v>14.55</v>
      </c>
    </row>
    <row r="149" spans="1:7" ht="63">
      <c r="A149" s="252" t="s">
        <v>209</v>
      </c>
      <c r="B149" s="315">
        <v>5679</v>
      </c>
      <c r="C149" s="253" t="s">
        <v>287</v>
      </c>
      <c r="D149" s="252" t="s">
        <v>202</v>
      </c>
      <c r="E149" s="300" t="s">
        <v>288</v>
      </c>
      <c r="F149" s="250">
        <v>68.5</v>
      </c>
      <c r="G149" s="256">
        <f t="shared" si="15"/>
        <v>13.86</v>
      </c>
    </row>
    <row r="150" spans="1:7" ht="31.5">
      <c r="A150" s="252" t="s">
        <v>203</v>
      </c>
      <c r="B150" s="315">
        <v>6193</v>
      </c>
      <c r="C150" s="253" t="s">
        <v>289</v>
      </c>
      <c r="D150" s="252" t="s">
        <v>37</v>
      </c>
      <c r="E150" s="300" t="s">
        <v>290</v>
      </c>
      <c r="F150" s="251">
        <v>11.23</v>
      </c>
      <c r="G150" s="256">
        <f>TRUNC(E150*F150,2)</f>
        <v>13.01</v>
      </c>
    </row>
    <row r="151" spans="1:7" ht="31.5" customHeight="1">
      <c r="A151" s="301" t="s">
        <v>203</v>
      </c>
      <c r="B151" s="301" t="s">
        <v>291</v>
      </c>
      <c r="C151" s="302" t="s">
        <v>292</v>
      </c>
      <c r="D151" s="301" t="s">
        <v>40</v>
      </c>
      <c r="E151" s="303">
        <v>56.578000000000003</v>
      </c>
      <c r="F151" s="255">
        <v>6</v>
      </c>
      <c r="G151" s="256">
        <f t="shared" si="15"/>
        <v>339.46</v>
      </c>
    </row>
    <row r="152" spans="1:7" ht="47.25">
      <c r="A152" s="252" t="s">
        <v>209</v>
      </c>
      <c r="B152" s="315">
        <v>87316</v>
      </c>
      <c r="C152" s="253" t="s">
        <v>293</v>
      </c>
      <c r="D152" s="252" t="s">
        <v>33</v>
      </c>
      <c r="E152" s="300" t="s">
        <v>220</v>
      </c>
      <c r="F152" s="250">
        <v>490.17</v>
      </c>
      <c r="G152" s="256">
        <f t="shared" si="15"/>
        <v>1.86</v>
      </c>
    </row>
    <row r="153" spans="1:7">
      <c r="A153" s="252" t="s">
        <v>209</v>
      </c>
      <c r="B153" s="315">
        <v>88309</v>
      </c>
      <c r="C153" s="253" t="s">
        <v>294</v>
      </c>
      <c r="D153" s="252" t="s">
        <v>170</v>
      </c>
      <c r="E153" s="300" t="s">
        <v>295</v>
      </c>
      <c r="F153" s="250">
        <v>26.68</v>
      </c>
      <c r="G153" s="256">
        <f t="shared" si="15"/>
        <v>398.74</v>
      </c>
    </row>
    <row r="154" spans="1:7">
      <c r="A154" s="252" t="s">
        <v>209</v>
      </c>
      <c r="B154" s="315">
        <v>88316</v>
      </c>
      <c r="C154" s="253" t="s">
        <v>173</v>
      </c>
      <c r="D154" s="252" t="s">
        <v>170</v>
      </c>
      <c r="E154" s="300" t="s">
        <v>296</v>
      </c>
      <c r="F154" s="250">
        <v>21.98</v>
      </c>
      <c r="G154" s="256">
        <f t="shared" si="15"/>
        <v>258.10000000000002</v>
      </c>
    </row>
    <row r="155" spans="1:7" ht="31.5">
      <c r="A155" s="252" t="s">
        <v>209</v>
      </c>
      <c r="B155" s="315">
        <v>88628</v>
      </c>
      <c r="C155" s="253" t="s">
        <v>297</v>
      </c>
      <c r="D155" s="252" t="s">
        <v>33</v>
      </c>
      <c r="E155" s="300" t="s">
        <v>298</v>
      </c>
      <c r="F155" s="250">
        <v>571.9</v>
      </c>
      <c r="G155" s="256">
        <f t="shared" si="15"/>
        <v>232.01</v>
      </c>
    </row>
    <row r="156" spans="1:7" ht="31.5">
      <c r="A156" s="252" t="s">
        <v>209</v>
      </c>
      <c r="B156" s="252">
        <v>92767</v>
      </c>
      <c r="C156" s="253" t="s">
        <v>426</v>
      </c>
      <c r="D156" s="252" t="s">
        <v>204</v>
      </c>
      <c r="E156" s="300" t="s">
        <v>300</v>
      </c>
      <c r="F156" s="250">
        <v>15.84</v>
      </c>
      <c r="G156" s="256">
        <f t="shared" si="15"/>
        <v>199.59</v>
      </c>
    </row>
    <row r="157" spans="1:7" ht="47.25">
      <c r="A157" s="252" t="s">
        <v>209</v>
      </c>
      <c r="B157" s="315">
        <v>94970</v>
      </c>
      <c r="C157" s="253" t="s">
        <v>301</v>
      </c>
      <c r="D157" s="252" t="s">
        <v>33</v>
      </c>
      <c r="E157" s="300" t="s">
        <v>302</v>
      </c>
      <c r="F157" s="250">
        <v>450.42</v>
      </c>
      <c r="G157" s="256">
        <f t="shared" si="15"/>
        <v>213.81</v>
      </c>
    </row>
    <row r="158" spans="1:7" ht="31.5">
      <c r="A158" s="252" t="s">
        <v>209</v>
      </c>
      <c r="B158" s="315">
        <v>97736</v>
      </c>
      <c r="C158" s="253" t="s">
        <v>303</v>
      </c>
      <c r="D158" s="252" t="s">
        <v>33</v>
      </c>
      <c r="E158" s="300" t="s">
        <v>304</v>
      </c>
      <c r="F158" s="250">
        <v>1569.24</v>
      </c>
      <c r="G158" s="256">
        <f t="shared" si="15"/>
        <v>394.82</v>
      </c>
    </row>
    <row r="159" spans="1:7" ht="47.25">
      <c r="A159" s="252" t="s">
        <v>209</v>
      </c>
      <c r="B159" s="315">
        <v>101625</v>
      </c>
      <c r="C159" s="253" t="s">
        <v>305</v>
      </c>
      <c r="D159" s="252" t="s">
        <v>33</v>
      </c>
      <c r="E159" s="300" t="s">
        <v>306</v>
      </c>
      <c r="F159" s="250">
        <v>152.34</v>
      </c>
      <c r="G159" s="256">
        <f t="shared" si="15"/>
        <v>96.7</v>
      </c>
    </row>
    <row r="160" spans="1:7" ht="24.75" customHeight="1">
      <c r="A160" s="258"/>
      <c r="B160" s="258"/>
      <c r="C160" s="259"/>
      <c r="D160" s="260"/>
      <c r="E160" s="247" t="s">
        <v>307</v>
      </c>
      <c r="F160" s="261"/>
      <c r="G160" s="247">
        <f>SUM(G145:G159)</f>
        <v>2180.1499999999996</v>
      </c>
    </row>
    <row r="161" spans="1:7" ht="24.75" customHeight="1">
      <c r="A161" s="258"/>
      <c r="B161" s="258"/>
      <c r="C161" s="259"/>
      <c r="D161" s="260"/>
      <c r="E161" s="262" t="s">
        <v>39</v>
      </c>
      <c r="F161" s="263">
        <v>0.24229999999999999</v>
      </c>
      <c r="G161" s="264">
        <f>TRUNC(G160*F161,2)</f>
        <v>528.25</v>
      </c>
    </row>
    <row r="162" spans="1:7" ht="24.75" customHeight="1">
      <c r="A162" s="258"/>
      <c r="B162" s="258"/>
      <c r="C162" s="259"/>
      <c r="D162" s="260"/>
      <c r="E162" s="265" t="s">
        <v>276</v>
      </c>
      <c r="F162" s="266"/>
      <c r="G162" s="247">
        <f>SUM(G160+G161)</f>
        <v>2708.3999999999996</v>
      </c>
    </row>
    <row r="163" spans="1:7" ht="6" customHeight="1">
      <c r="A163" s="258"/>
      <c r="B163" s="258"/>
      <c r="C163" s="259"/>
      <c r="D163" s="260"/>
      <c r="E163" s="268"/>
      <c r="F163" s="269"/>
      <c r="G163" s="270"/>
    </row>
    <row r="164" spans="1:7" ht="31.5">
      <c r="A164" s="239" t="s">
        <v>319</v>
      </c>
      <c r="B164" s="239" t="s">
        <v>193</v>
      </c>
      <c r="C164" s="240" t="s">
        <v>94</v>
      </c>
      <c r="D164" s="239" t="s">
        <v>194</v>
      </c>
      <c r="E164" s="241" t="s">
        <v>195</v>
      </c>
      <c r="F164" s="239" t="s">
        <v>321</v>
      </c>
      <c r="G164" s="241" t="s">
        <v>322</v>
      </c>
    </row>
    <row r="165" spans="1:7" ht="47.25">
      <c r="A165" s="242" t="s">
        <v>308</v>
      </c>
      <c r="B165" s="318">
        <v>10</v>
      </c>
      <c r="C165" s="244" t="s">
        <v>373</v>
      </c>
      <c r="D165" s="245" t="s">
        <v>40</v>
      </c>
      <c r="E165" s="246" t="s">
        <v>198</v>
      </c>
      <c r="F165" s="246"/>
      <c r="G165" s="247"/>
    </row>
    <row r="166" spans="1:7" ht="31.5">
      <c r="A166" s="252" t="s">
        <v>203</v>
      </c>
      <c r="B166" s="315">
        <v>4491</v>
      </c>
      <c r="C166" s="253" t="s">
        <v>279</v>
      </c>
      <c r="D166" s="252" t="s">
        <v>37</v>
      </c>
      <c r="E166" s="300" t="s">
        <v>280</v>
      </c>
      <c r="F166" s="251">
        <v>7.05</v>
      </c>
      <c r="G166" s="256">
        <f t="shared" ref="G166:G170" si="16">TRUNC(E166*F166,2)</f>
        <v>2.19</v>
      </c>
    </row>
    <row r="167" spans="1:7" ht="31.5">
      <c r="A167" s="252" t="s">
        <v>203</v>
      </c>
      <c r="B167" s="315">
        <v>4517</v>
      </c>
      <c r="C167" s="253" t="s">
        <v>281</v>
      </c>
      <c r="D167" s="252" t="s">
        <v>37</v>
      </c>
      <c r="E167" s="300" t="s">
        <v>282</v>
      </c>
      <c r="F167" s="251">
        <v>2.46</v>
      </c>
      <c r="G167" s="256">
        <f t="shared" si="16"/>
        <v>0.9</v>
      </c>
    </row>
    <row r="168" spans="1:7" ht="25.5" customHeight="1">
      <c r="A168" s="252" t="s">
        <v>203</v>
      </c>
      <c r="B168" s="315">
        <v>5069</v>
      </c>
      <c r="C168" s="253" t="s">
        <v>283</v>
      </c>
      <c r="D168" s="252" t="s">
        <v>204</v>
      </c>
      <c r="E168" s="300" t="s">
        <v>284</v>
      </c>
      <c r="F168" s="251">
        <v>16.98</v>
      </c>
      <c r="G168" s="256">
        <f t="shared" si="16"/>
        <v>0.55000000000000004</v>
      </c>
    </row>
    <row r="169" spans="1:7" ht="63">
      <c r="A169" s="252" t="s">
        <v>209</v>
      </c>
      <c r="B169" s="315">
        <v>5678</v>
      </c>
      <c r="C169" s="253" t="s">
        <v>285</v>
      </c>
      <c r="D169" s="252" t="s">
        <v>176</v>
      </c>
      <c r="E169" s="300" t="s">
        <v>286</v>
      </c>
      <c r="F169" s="250">
        <v>146.58000000000001</v>
      </c>
      <c r="G169" s="256">
        <f t="shared" si="16"/>
        <v>14.55</v>
      </c>
    </row>
    <row r="170" spans="1:7" ht="63">
      <c r="A170" s="252" t="s">
        <v>209</v>
      </c>
      <c r="B170" s="315">
        <v>5679</v>
      </c>
      <c r="C170" s="253" t="s">
        <v>287</v>
      </c>
      <c r="D170" s="252" t="s">
        <v>202</v>
      </c>
      <c r="E170" s="300" t="s">
        <v>288</v>
      </c>
      <c r="F170" s="250">
        <v>68.5</v>
      </c>
      <c r="G170" s="256">
        <f t="shared" si="16"/>
        <v>13.86</v>
      </c>
    </row>
    <row r="171" spans="1:7" ht="31.5">
      <c r="A171" s="252" t="s">
        <v>203</v>
      </c>
      <c r="B171" s="315">
        <v>6193</v>
      </c>
      <c r="C171" s="253" t="s">
        <v>289</v>
      </c>
      <c r="D171" s="252" t="s">
        <v>37</v>
      </c>
      <c r="E171" s="300" t="s">
        <v>290</v>
      </c>
      <c r="F171" s="251">
        <v>11.23</v>
      </c>
      <c r="G171" s="256">
        <f>TRUNC(E171*F171,2)</f>
        <v>13.01</v>
      </c>
    </row>
    <row r="172" spans="1:7" ht="28.5" customHeight="1">
      <c r="A172" s="301" t="s">
        <v>203</v>
      </c>
      <c r="B172" s="301" t="s">
        <v>291</v>
      </c>
      <c r="C172" s="302" t="s">
        <v>292</v>
      </c>
      <c r="D172" s="301" t="s">
        <v>40</v>
      </c>
      <c r="E172" s="303">
        <v>120</v>
      </c>
      <c r="F172" s="255">
        <v>6</v>
      </c>
      <c r="G172" s="256">
        <f t="shared" ref="G172:G180" si="17">TRUNC(E172*F172,2)</f>
        <v>720</v>
      </c>
    </row>
    <row r="173" spans="1:7" ht="47.25">
      <c r="A173" s="252" t="s">
        <v>209</v>
      </c>
      <c r="B173" s="315">
        <v>87316</v>
      </c>
      <c r="C173" s="253" t="s">
        <v>293</v>
      </c>
      <c r="D173" s="252" t="s">
        <v>33</v>
      </c>
      <c r="E173" s="300" t="s">
        <v>220</v>
      </c>
      <c r="F173" s="250">
        <v>490.17</v>
      </c>
      <c r="G173" s="256">
        <f t="shared" si="17"/>
        <v>1.86</v>
      </c>
    </row>
    <row r="174" spans="1:7" ht="25.5" customHeight="1">
      <c r="A174" s="252" t="s">
        <v>209</v>
      </c>
      <c r="B174" s="315">
        <v>88309</v>
      </c>
      <c r="C174" s="253" t="s">
        <v>294</v>
      </c>
      <c r="D174" s="252" t="s">
        <v>170</v>
      </c>
      <c r="E174" s="300" t="s">
        <v>295</v>
      </c>
      <c r="F174" s="250">
        <v>26.68</v>
      </c>
      <c r="G174" s="256">
        <f t="shared" si="17"/>
        <v>398.74</v>
      </c>
    </row>
    <row r="175" spans="1:7" ht="30.75" customHeight="1">
      <c r="A175" s="252" t="s">
        <v>209</v>
      </c>
      <c r="B175" s="315">
        <v>88316</v>
      </c>
      <c r="C175" s="253" t="s">
        <v>173</v>
      </c>
      <c r="D175" s="252" t="s">
        <v>170</v>
      </c>
      <c r="E175" s="300" t="s">
        <v>296</v>
      </c>
      <c r="F175" s="250">
        <v>21.98</v>
      </c>
      <c r="G175" s="256">
        <f t="shared" si="17"/>
        <v>258.10000000000002</v>
      </c>
    </row>
    <row r="176" spans="1:7" ht="31.5">
      <c r="A176" s="252" t="s">
        <v>209</v>
      </c>
      <c r="B176" s="315">
        <v>88628</v>
      </c>
      <c r="C176" s="253" t="s">
        <v>297</v>
      </c>
      <c r="D176" s="252" t="s">
        <v>33</v>
      </c>
      <c r="E176" s="300" t="s">
        <v>298</v>
      </c>
      <c r="F176" s="250">
        <v>571.9</v>
      </c>
      <c r="G176" s="256">
        <f t="shared" si="17"/>
        <v>232.01</v>
      </c>
    </row>
    <row r="177" spans="1:7" ht="47.25">
      <c r="A177" s="252" t="s">
        <v>209</v>
      </c>
      <c r="B177" s="252">
        <v>92767</v>
      </c>
      <c r="C177" s="253" t="s">
        <v>299</v>
      </c>
      <c r="D177" s="252" t="s">
        <v>204</v>
      </c>
      <c r="E177" s="300" t="s">
        <v>300</v>
      </c>
      <c r="F177" s="250">
        <v>15.84</v>
      </c>
      <c r="G177" s="256">
        <f t="shared" si="17"/>
        <v>199.59</v>
      </c>
    </row>
    <row r="178" spans="1:7" ht="47.25">
      <c r="A178" s="252" t="s">
        <v>209</v>
      </c>
      <c r="B178" s="315">
        <v>94970</v>
      </c>
      <c r="C178" s="253" t="s">
        <v>301</v>
      </c>
      <c r="D178" s="252" t="s">
        <v>33</v>
      </c>
      <c r="E178" s="300" t="s">
        <v>302</v>
      </c>
      <c r="F178" s="250">
        <v>450.42</v>
      </c>
      <c r="G178" s="256">
        <f t="shared" si="17"/>
        <v>213.81</v>
      </c>
    </row>
    <row r="179" spans="1:7" ht="31.5">
      <c r="A179" s="252" t="s">
        <v>209</v>
      </c>
      <c r="B179" s="315">
        <v>97736</v>
      </c>
      <c r="C179" s="253" t="s">
        <v>303</v>
      </c>
      <c r="D179" s="252" t="s">
        <v>33</v>
      </c>
      <c r="E179" s="300" t="s">
        <v>304</v>
      </c>
      <c r="F179" s="250">
        <v>1569.24</v>
      </c>
      <c r="G179" s="256">
        <f t="shared" si="17"/>
        <v>394.82</v>
      </c>
    </row>
    <row r="180" spans="1:7" ht="47.25">
      <c r="A180" s="252" t="s">
        <v>209</v>
      </c>
      <c r="B180" s="315">
        <v>101625</v>
      </c>
      <c r="C180" s="253" t="s">
        <v>305</v>
      </c>
      <c r="D180" s="252" t="s">
        <v>33</v>
      </c>
      <c r="E180" s="300" t="s">
        <v>306</v>
      </c>
      <c r="F180" s="250">
        <v>152.34</v>
      </c>
      <c r="G180" s="256">
        <f t="shared" si="17"/>
        <v>96.7</v>
      </c>
    </row>
    <row r="181" spans="1:7" ht="24.75" customHeight="1">
      <c r="A181" s="258"/>
      <c r="B181" s="258"/>
      <c r="C181" s="259"/>
      <c r="D181" s="260"/>
      <c r="E181" s="247" t="s">
        <v>307</v>
      </c>
      <c r="F181" s="261"/>
      <c r="G181" s="247">
        <f>SUM(G166:G180)</f>
        <v>2560.6899999999996</v>
      </c>
    </row>
    <row r="182" spans="1:7" ht="24.75" customHeight="1">
      <c r="A182" s="258"/>
      <c r="B182" s="258"/>
      <c r="C182" s="259"/>
      <c r="D182" s="260"/>
      <c r="E182" s="262" t="s">
        <v>39</v>
      </c>
      <c r="F182" s="263">
        <v>0.24229999999999999</v>
      </c>
      <c r="G182" s="264">
        <f>TRUNC(G181*F182,2)</f>
        <v>620.45000000000005</v>
      </c>
    </row>
    <row r="183" spans="1:7" ht="24.75" customHeight="1">
      <c r="A183" s="258"/>
      <c r="B183" s="258"/>
      <c r="C183" s="259"/>
      <c r="D183" s="260"/>
      <c r="E183" s="265" t="s">
        <v>276</v>
      </c>
      <c r="F183" s="266"/>
      <c r="G183" s="247">
        <f>SUM(G181+G182)</f>
        <v>3181.1399999999994</v>
      </c>
    </row>
    <row r="184" spans="1:7" ht="6" customHeight="1"/>
    <row r="185" spans="1:7" ht="31.5">
      <c r="A185" s="239" t="s">
        <v>319</v>
      </c>
      <c r="B185" s="239" t="s">
        <v>193</v>
      </c>
      <c r="C185" s="240" t="s">
        <v>94</v>
      </c>
      <c r="D185" s="239" t="s">
        <v>194</v>
      </c>
      <c r="E185" s="241" t="s">
        <v>195</v>
      </c>
      <c r="F185" s="239" t="s">
        <v>321</v>
      </c>
      <c r="G185" s="241" t="s">
        <v>322</v>
      </c>
    </row>
    <row r="186" spans="1:7" ht="47.25">
      <c r="A186" s="242" t="s">
        <v>308</v>
      </c>
      <c r="B186" s="318">
        <v>11</v>
      </c>
      <c r="C186" s="244" t="s">
        <v>412</v>
      </c>
      <c r="D186" s="245" t="s">
        <v>37</v>
      </c>
      <c r="E186" s="246"/>
      <c r="F186" s="246"/>
      <c r="G186" s="247"/>
    </row>
    <row r="187" spans="1:7" ht="21" customHeight="1">
      <c r="A187" s="252" t="s">
        <v>209</v>
      </c>
      <c r="B187" s="252">
        <v>88262</v>
      </c>
      <c r="C187" s="253" t="s">
        <v>413</v>
      </c>
      <c r="D187" s="252" t="s">
        <v>170</v>
      </c>
      <c r="E187" s="304">
        <v>0.2</v>
      </c>
      <c r="F187" s="250">
        <v>26.29</v>
      </c>
      <c r="G187" s="256">
        <f t="shared" ref="G187:G191" si="18">TRUNC(E187*F187,2)</f>
        <v>5.25</v>
      </c>
    </row>
    <row r="188" spans="1:7" ht="21" customHeight="1">
      <c r="A188" s="252" t="s">
        <v>209</v>
      </c>
      <c r="B188" s="305">
        <v>88316</v>
      </c>
      <c r="C188" s="253" t="s">
        <v>173</v>
      </c>
      <c r="D188" s="252" t="s">
        <v>170</v>
      </c>
      <c r="E188" s="304">
        <v>0.5</v>
      </c>
      <c r="F188" s="250">
        <v>21.98</v>
      </c>
      <c r="G188" s="256">
        <f t="shared" si="18"/>
        <v>10.99</v>
      </c>
    </row>
    <row r="189" spans="1:7" ht="21" customHeight="1">
      <c r="A189" s="252" t="s">
        <v>203</v>
      </c>
      <c r="B189" s="252">
        <v>339</v>
      </c>
      <c r="C189" s="253" t="s">
        <v>414</v>
      </c>
      <c r="D189" s="252" t="s">
        <v>37</v>
      </c>
      <c r="E189" s="304">
        <v>4</v>
      </c>
      <c r="F189" s="251">
        <v>1.28</v>
      </c>
      <c r="G189" s="256">
        <f t="shared" si="18"/>
        <v>5.12</v>
      </c>
    </row>
    <row r="190" spans="1:7" ht="31.5">
      <c r="A190" s="252" t="s">
        <v>203</v>
      </c>
      <c r="B190" s="252">
        <v>4433</v>
      </c>
      <c r="C190" s="253" t="s">
        <v>415</v>
      </c>
      <c r="D190" s="252" t="s">
        <v>37</v>
      </c>
      <c r="E190" s="304">
        <v>1</v>
      </c>
      <c r="F190" s="251">
        <v>15.54</v>
      </c>
      <c r="G190" s="256">
        <f t="shared" si="18"/>
        <v>15.54</v>
      </c>
    </row>
    <row r="191" spans="1:7" ht="21" customHeight="1">
      <c r="A191" s="252" t="s">
        <v>203</v>
      </c>
      <c r="B191" s="252">
        <v>5076</v>
      </c>
      <c r="C191" s="253" t="s">
        <v>416</v>
      </c>
      <c r="D191" s="252" t="s">
        <v>204</v>
      </c>
      <c r="E191" s="304">
        <v>0.03</v>
      </c>
      <c r="F191" s="251">
        <v>16.829999999999998</v>
      </c>
      <c r="G191" s="256">
        <f t="shared" si="18"/>
        <v>0.5</v>
      </c>
    </row>
    <row r="192" spans="1:7" ht="24.75" customHeight="1">
      <c r="A192" s="258"/>
      <c r="B192" s="258"/>
      <c r="C192" s="259"/>
      <c r="D192" s="260"/>
      <c r="E192" s="247" t="s">
        <v>307</v>
      </c>
      <c r="F192" s="261"/>
      <c r="G192" s="247">
        <f>SUM(G187:G191)</f>
        <v>37.400000000000006</v>
      </c>
    </row>
    <row r="193" spans="1:7" ht="24.75" customHeight="1">
      <c r="A193" s="258"/>
      <c r="B193" s="258"/>
      <c r="C193" s="259"/>
      <c r="D193" s="260"/>
      <c r="E193" s="262" t="s">
        <v>39</v>
      </c>
      <c r="F193" s="263">
        <v>0.24229999999999999</v>
      </c>
      <c r="G193" s="264">
        <f>TRUNC(G192*F193,2)</f>
        <v>9.06</v>
      </c>
    </row>
    <row r="194" spans="1:7" ht="24.75" customHeight="1">
      <c r="A194" s="258"/>
      <c r="B194" s="258"/>
      <c r="C194" s="259"/>
      <c r="D194" s="260"/>
      <c r="E194" s="265" t="s">
        <v>276</v>
      </c>
      <c r="F194" s="266"/>
      <c r="G194" s="247">
        <f>SUM(G192+G193)</f>
        <v>46.460000000000008</v>
      </c>
    </row>
    <row r="195" spans="1:7" ht="6" customHeight="1"/>
    <row r="196" spans="1:7" ht="31.5">
      <c r="A196" s="239" t="s">
        <v>319</v>
      </c>
      <c r="B196" s="239" t="s">
        <v>193</v>
      </c>
      <c r="C196" s="240" t="s">
        <v>94</v>
      </c>
      <c r="D196" s="239" t="s">
        <v>194</v>
      </c>
      <c r="E196" s="241" t="s">
        <v>195</v>
      </c>
      <c r="F196" s="239" t="s">
        <v>321</v>
      </c>
      <c r="G196" s="241" t="s">
        <v>322</v>
      </c>
    </row>
    <row r="197" spans="1:7" ht="43.5" customHeight="1">
      <c r="A197" s="242" t="s">
        <v>308</v>
      </c>
      <c r="B197" s="318">
        <v>12</v>
      </c>
      <c r="C197" s="244" t="s">
        <v>419</v>
      </c>
      <c r="D197" s="245" t="s">
        <v>10</v>
      </c>
      <c r="E197" s="246"/>
      <c r="F197" s="246"/>
      <c r="G197" s="247"/>
    </row>
    <row r="198" spans="1:7" ht="21" customHeight="1">
      <c r="A198" s="252" t="s">
        <v>209</v>
      </c>
      <c r="B198" s="315">
        <v>88309</v>
      </c>
      <c r="C198" s="253" t="s">
        <v>294</v>
      </c>
      <c r="D198" s="252" t="s">
        <v>170</v>
      </c>
      <c r="E198" s="304">
        <v>4</v>
      </c>
      <c r="F198" s="250">
        <v>26.68</v>
      </c>
      <c r="G198" s="256">
        <f t="shared" ref="G198:G202" si="19">TRUNC(E198*F198,2)</f>
        <v>106.72</v>
      </c>
    </row>
    <row r="199" spans="1:7" ht="21" customHeight="1">
      <c r="A199" s="252" t="s">
        <v>209</v>
      </c>
      <c r="B199" s="322">
        <v>88316</v>
      </c>
      <c r="C199" s="253" t="s">
        <v>173</v>
      </c>
      <c r="D199" s="252" t="s">
        <v>170</v>
      </c>
      <c r="E199" s="304">
        <v>4</v>
      </c>
      <c r="F199" s="250">
        <v>21.98</v>
      </c>
      <c r="G199" s="256">
        <f t="shared" si="19"/>
        <v>87.92</v>
      </c>
    </row>
    <row r="200" spans="1:7" ht="63">
      <c r="A200" s="252" t="s">
        <v>209</v>
      </c>
      <c r="B200" s="315">
        <v>5678</v>
      </c>
      <c r="C200" s="253" t="s">
        <v>285</v>
      </c>
      <c r="D200" s="252" t="s">
        <v>176</v>
      </c>
      <c r="E200" s="304">
        <v>0.25</v>
      </c>
      <c r="F200" s="250">
        <v>146.58000000000001</v>
      </c>
      <c r="G200" s="256">
        <f t="shared" si="19"/>
        <v>36.64</v>
      </c>
    </row>
    <row r="201" spans="1:7" ht="63">
      <c r="A201" s="252" t="s">
        <v>209</v>
      </c>
      <c r="B201" s="315">
        <v>5679</v>
      </c>
      <c r="C201" s="253" t="s">
        <v>287</v>
      </c>
      <c r="D201" s="252" t="s">
        <v>202</v>
      </c>
      <c r="E201" s="304">
        <v>0.25</v>
      </c>
      <c r="F201" s="250">
        <v>68.5</v>
      </c>
      <c r="G201" s="256">
        <f t="shared" si="19"/>
        <v>17.12</v>
      </c>
    </row>
    <row r="202" spans="1:7" ht="31.5">
      <c r="A202" s="252" t="s">
        <v>203</v>
      </c>
      <c r="B202" s="252">
        <v>25067</v>
      </c>
      <c r="C202" s="253" t="s">
        <v>420</v>
      </c>
      <c r="D202" s="252" t="s">
        <v>424</v>
      </c>
      <c r="E202" s="304">
        <v>10</v>
      </c>
      <c r="F202" s="251">
        <v>6.16</v>
      </c>
      <c r="G202" s="256">
        <f t="shared" si="19"/>
        <v>61.6</v>
      </c>
    </row>
    <row r="203" spans="1:7" ht="31.5">
      <c r="A203" s="252" t="s">
        <v>209</v>
      </c>
      <c r="B203" s="315">
        <v>88631</v>
      </c>
      <c r="C203" s="253" t="s">
        <v>421</v>
      </c>
      <c r="D203" s="252" t="s">
        <v>33</v>
      </c>
      <c r="E203" s="304">
        <v>2.2040000000000008E-2</v>
      </c>
      <c r="F203" s="250">
        <v>591.59</v>
      </c>
      <c r="G203" s="256">
        <f t="shared" ref="G203:G205" si="20">TRUNC(E203*F203,2)</f>
        <v>13.03</v>
      </c>
    </row>
    <row r="204" spans="1:7" ht="47.25">
      <c r="A204" s="252" t="s">
        <v>209</v>
      </c>
      <c r="B204" s="315">
        <v>94962</v>
      </c>
      <c r="C204" s="253" t="s">
        <v>422</v>
      </c>
      <c r="D204" s="252" t="s">
        <v>33</v>
      </c>
      <c r="E204" s="304">
        <v>4.5000000000000005E-2</v>
      </c>
      <c r="F204" s="250">
        <v>374.37</v>
      </c>
      <c r="G204" s="256">
        <f t="shared" si="20"/>
        <v>16.84</v>
      </c>
    </row>
    <row r="205" spans="1:7" ht="47.25">
      <c r="A205" s="252" t="s">
        <v>203</v>
      </c>
      <c r="B205" s="252">
        <v>1346</v>
      </c>
      <c r="C205" s="253" t="s">
        <v>423</v>
      </c>
      <c r="D205" s="252" t="s">
        <v>425</v>
      </c>
      <c r="E205" s="304">
        <v>0.2</v>
      </c>
      <c r="F205" s="251">
        <v>80.66</v>
      </c>
      <c r="G205" s="256">
        <f t="shared" si="20"/>
        <v>16.13</v>
      </c>
    </row>
    <row r="206" spans="1:7" ht="24.75" customHeight="1">
      <c r="A206" s="258"/>
      <c r="B206" s="258"/>
      <c r="C206" s="259"/>
      <c r="D206" s="260"/>
      <c r="E206" s="247" t="s">
        <v>307</v>
      </c>
      <c r="F206" s="261"/>
      <c r="G206" s="247">
        <f>SUM(G198:G205)</f>
        <v>355.99999999999994</v>
      </c>
    </row>
    <row r="207" spans="1:7" ht="24.75" customHeight="1">
      <c r="A207" s="258"/>
      <c r="B207" s="258"/>
      <c r="C207" s="259"/>
      <c r="D207" s="260"/>
      <c r="E207" s="262" t="s">
        <v>39</v>
      </c>
      <c r="F207" s="263">
        <v>0.24229999999999999</v>
      </c>
      <c r="G207" s="264">
        <f>TRUNC(G206*F207,2)</f>
        <v>86.25</v>
      </c>
    </row>
    <row r="208" spans="1:7" ht="24.75" customHeight="1">
      <c r="A208" s="258"/>
      <c r="B208" s="258"/>
      <c r="C208" s="259"/>
      <c r="D208" s="260"/>
      <c r="E208" s="265" t="s">
        <v>276</v>
      </c>
      <c r="F208" s="266"/>
      <c r="G208" s="247">
        <f>SUM(G206+G207)</f>
        <v>442.24999999999994</v>
      </c>
    </row>
    <row r="210" spans="1:7" ht="31.5">
      <c r="A210" s="239" t="s">
        <v>319</v>
      </c>
      <c r="B210" s="239" t="s">
        <v>193</v>
      </c>
      <c r="C210" s="240" t="s">
        <v>94</v>
      </c>
      <c r="D210" s="239" t="s">
        <v>194</v>
      </c>
      <c r="E210" s="241" t="s">
        <v>195</v>
      </c>
      <c r="F210" s="239" t="s">
        <v>321</v>
      </c>
      <c r="G210" s="241" t="s">
        <v>322</v>
      </c>
    </row>
    <row r="211" spans="1:7" ht="43.5" customHeight="1">
      <c r="A211" s="242" t="s">
        <v>308</v>
      </c>
      <c r="B211" s="318">
        <v>13</v>
      </c>
      <c r="C211" s="244" t="s">
        <v>431</v>
      </c>
      <c r="D211" s="245" t="s">
        <v>10</v>
      </c>
      <c r="E211" s="246"/>
      <c r="F211" s="246"/>
      <c r="G211" s="247"/>
    </row>
    <row r="212" spans="1:7" ht="21" customHeight="1">
      <c r="A212" s="252" t="s">
        <v>209</v>
      </c>
      <c r="B212" s="315">
        <v>88309</v>
      </c>
      <c r="C212" s="253" t="s">
        <v>294</v>
      </c>
      <c r="D212" s="252" t="s">
        <v>170</v>
      </c>
      <c r="E212" s="304">
        <f>4*1.5</f>
        <v>6</v>
      </c>
      <c r="F212" s="250">
        <v>26.68</v>
      </c>
      <c r="G212" s="256">
        <f t="shared" ref="G212:G219" si="21">TRUNC(E212*F212,2)</f>
        <v>160.08000000000001</v>
      </c>
    </row>
    <row r="213" spans="1:7" ht="21" customHeight="1">
      <c r="A213" s="252" t="s">
        <v>209</v>
      </c>
      <c r="B213" s="322">
        <v>88316</v>
      </c>
      <c r="C213" s="253" t="s">
        <v>173</v>
      </c>
      <c r="D213" s="252" t="s">
        <v>170</v>
      </c>
      <c r="E213" s="304">
        <f>4*1.5</f>
        <v>6</v>
      </c>
      <c r="F213" s="250">
        <v>21.98</v>
      </c>
      <c r="G213" s="256">
        <f t="shared" si="21"/>
        <v>131.88</v>
      </c>
    </row>
    <row r="214" spans="1:7" ht="63">
      <c r="A214" s="252" t="s">
        <v>209</v>
      </c>
      <c r="B214" s="315">
        <v>5678</v>
      </c>
      <c r="C214" s="253" t="s">
        <v>285</v>
      </c>
      <c r="D214" s="252" t="s">
        <v>176</v>
      </c>
      <c r="E214" s="304">
        <f>1.5*0.25</f>
        <v>0.375</v>
      </c>
      <c r="F214" s="250">
        <v>146.58000000000001</v>
      </c>
      <c r="G214" s="256">
        <f t="shared" si="21"/>
        <v>54.96</v>
      </c>
    </row>
    <row r="215" spans="1:7" ht="63">
      <c r="A215" s="252" t="s">
        <v>209</v>
      </c>
      <c r="B215" s="315">
        <v>5679</v>
      </c>
      <c r="C215" s="253" t="s">
        <v>287</v>
      </c>
      <c r="D215" s="252" t="s">
        <v>202</v>
      </c>
      <c r="E215" s="304">
        <f>E214</f>
        <v>0.375</v>
      </c>
      <c r="F215" s="250">
        <v>68.5</v>
      </c>
      <c r="G215" s="256">
        <f t="shared" si="21"/>
        <v>25.68</v>
      </c>
    </row>
    <row r="216" spans="1:7" ht="31.5">
      <c r="A216" s="252" t="s">
        <v>203</v>
      </c>
      <c r="B216" s="252">
        <v>25067</v>
      </c>
      <c r="C216" s="253" t="s">
        <v>420</v>
      </c>
      <c r="D216" s="252" t="s">
        <v>424</v>
      </c>
      <c r="E216" s="304">
        <v>15</v>
      </c>
      <c r="F216" s="251">
        <v>6.16</v>
      </c>
      <c r="G216" s="256">
        <f t="shared" si="21"/>
        <v>92.4</v>
      </c>
    </row>
    <row r="217" spans="1:7" ht="31.5">
      <c r="A217" s="252" t="s">
        <v>209</v>
      </c>
      <c r="B217" s="315">
        <v>88631</v>
      </c>
      <c r="C217" s="253" t="s">
        <v>421</v>
      </c>
      <c r="D217" s="252" t="s">
        <v>33</v>
      </c>
      <c r="E217" s="304">
        <f>1.5*0.02204</f>
        <v>3.3059999999999999E-2</v>
      </c>
      <c r="F217" s="250">
        <v>591.59</v>
      </c>
      <c r="G217" s="256">
        <f t="shared" si="21"/>
        <v>19.55</v>
      </c>
    </row>
    <row r="218" spans="1:7" ht="47.25">
      <c r="A218" s="252" t="s">
        <v>209</v>
      </c>
      <c r="B218" s="315">
        <v>94962</v>
      </c>
      <c r="C218" s="253" t="s">
        <v>422</v>
      </c>
      <c r="D218" s="252" t="s">
        <v>33</v>
      </c>
      <c r="E218" s="304">
        <f>1.5*0.045</f>
        <v>6.7500000000000004E-2</v>
      </c>
      <c r="F218" s="250">
        <v>374.37</v>
      </c>
      <c r="G218" s="256">
        <f t="shared" si="21"/>
        <v>25.26</v>
      </c>
    </row>
    <row r="219" spans="1:7" ht="47.25">
      <c r="A219" s="252" t="s">
        <v>203</v>
      </c>
      <c r="B219" s="252">
        <v>1346</v>
      </c>
      <c r="C219" s="253" t="s">
        <v>423</v>
      </c>
      <c r="D219" s="252" t="s">
        <v>425</v>
      </c>
      <c r="E219" s="304">
        <f>1.5*0.2</f>
        <v>0.30000000000000004</v>
      </c>
      <c r="F219" s="251">
        <v>80.66</v>
      </c>
      <c r="G219" s="256">
        <f t="shared" si="21"/>
        <v>24.19</v>
      </c>
    </row>
    <row r="220" spans="1:7" ht="24.75" customHeight="1">
      <c r="A220" s="258"/>
      <c r="B220" s="258"/>
      <c r="C220" s="259"/>
      <c r="D220" s="260"/>
      <c r="E220" s="247" t="s">
        <v>307</v>
      </c>
      <c r="F220" s="261"/>
      <c r="G220" s="247">
        <f>SUM(G212:G219)</f>
        <v>534</v>
      </c>
    </row>
    <row r="221" spans="1:7" ht="24.75" customHeight="1">
      <c r="A221" s="258"/>
      <c r="B221" s="258"/>
      <c r="C221" s="259"/>
      <c r="D221" s="260"/>
      <c r="E221" s="262" t="s">
        <v>39</v>
      </c>
      <c r="F221" s="263">
        <v>0.24229999999999999</v>
      </c>
      <c r="G221" s="264">
        <f>TRUNC(G220*F221,2)</f>
        <v>129.38</v>
      </c>
    </row>
    <row r="222" spans="1:7" ht="24.75" customHeight="1">
      <c r="A222" s="258"/>
      <c r="B222" s="258"/>
      <c r="C222" s="259"/>
      <c r="D222" s="260"/>
      <c r="E222" s="265" t="s">
        <v>276</v>
      </c>
      <c r="F222" s="266"/>
      <c r="G222" s="247">
        <f>SUM(G220+G221)</f>
        <v>663.38</v>
      </c>
    </row>
    <row r="223" spans="1:7" ht="8.25" customHeight="1"/>
    <row r="224" spans="1:7" ht="31.5">
      <c r="A224" s="239" t="s">
        <v>319</v>
      </c>
      <c r="B224" s="239" t="s">
        <v>193</v>
      </c>
      <c r="C224" s="240" t="s">
        <v>94</v>
      </c>
      <c r="D224" s="239" t="s">
        <v>194</v>
      </c>
      <c r="E224" s="241" t="s">
        <v>195</v>
      </c>
      <c r="F224" s="239" t="s">
        <v>321</v>
      </c>
      <c r="G224" s="241" t="s">
        <v>322</v>
      </c>
    </row>
    <row r="225" spans="1:7" ht="46.5" customHeight="1">
      <c r="A225" s="242" t="s">
        <v>308</v>
      </c>
      <c r="B225" s="243" t="s">
        <v>439</v>
      </c>
      <c r="C225" s="244" t="s">
        <v>436</v>
      </c>
      <c r="D225" s="245" t="s">
        <v>10</v>
      </c>
      <c r="E225" s="246"/>
      <c r="F225" s="246"/>
      <c r="G225" s="247"/>
    </row>
    <row r="226" spans="1:7" ht="31.5" customHeight="1">
      <c r="A226" s="252" t="s">
        <v>203</v>
      </c>
      <c r="B226" s="322">
        <v>2692</v>
      </c>
      <c r="C226" s="253" t="s">
        <v>440</v>
      </c>
      <c r="D226" s="252" t="s">
        <v>442</v>
      </c>
      <c r="E226" s="304" t="s">
        <v>443</v>
      </c>
      <c r="F226" s="251">
        <v>7.17</v>
      </c>
      <c r="G226" s="256">
        <f t="shared" ref="G226:G232" si="22">TRUNC(E226*F226,2)</f>
        <v>0.13</v>
      </c>
    </row>
    <row r="227" spans="1:7" ht="31.5">
      <c r="A227" s="252" t="s">
        <v>203</v>
      </c>
      <c r="B227" s="315">
        <v>4491</v>
      </c>
      <c r="C227" s="253" t="s">
        <v>279</v>
      </c>
      <c r="D227" s="252" t="s">
        <v>37</v>
      </c>
      <c r="E227" s="304" t="s">
        <v>444</v>
      </c>
      <c r="F227" s="251">
        <v>7.05</v>
      </c>
      <c r="G227" s="256">
        <f t="shared" si="22"/>
        <v>2.97</v>
      </c>
    </row>
    <row r="228" spans="1:7" ht="31.5">
      <c r="A228" s="252" t="s">
        <v>203</v>
      </c>
      <c r="B228" s="315">
        <v>4517</v>
      </c>
      <c r="C228" s="253" t="s">
        <v>281</v>
      </c>
      <c r="D228" s="252" t="s">
        <v>37</v>
      </c>
      <c r="E228" s="304" t="s">
        <v>445</v>
      </c>
      <c r="F228" s="251">
        <v>2.46</v>
      </c>
      <c r="G228" s="256">
        <f t="shared" si="22"/>
        <v>1.23</v>
      </c>
    </row>
    <row r="229" spans="1:7" ht="28.5" customHeight="1">
      <c r="A229" s="252" t="s">
        <v>203</v>
      </c>
      <c r="B229" s="315">
        <v>5069</v>
      </c>
      <c r="C229" s="253" t="s">
        <v>283</v>
      </c>
      <c r="D229" s="252" t="s">
        <v>204</v>
      </c>
      <c r="E229" s="304" t="s">
        <v>446</v>
      </c>
      <c r="F229" s="251">
        <v>16.98</v>
      </c>
      <c r="G229" s="256">
        <f t="shared" si="22"/>
        <v>0.75</v>
      </c>
    </row>
    <row r="230" spans="1:7" ht="63">
      <c r="A230" s="252" t="s">
        <v>209</v>
      </c>
      <c r="B230" s="315">
        <v>5678</v>
      </c>
      <c r="C230" s="253" t="s">
        <v>285</v>
      </c>
      <c r="D230" s="252" t="s">
        <v>176</v>
      </c>
      <c r="E230" s="304" t="s">
        <v>447</v>
      </c>
      <c r="F230" s="250">
        <v>146.58000000000001</v>
      </c>
      <c r="G230" s="256">
        <f t="shared" si="22"/>
        <v>23.46</v>
      </c>
    </row>
    <row r="231" spans="1:7" ht="63">
      <c r="A231" s="252" t="s">
        <v>209</v>
      </c>
      <c r="B231" s="315">
        <v>5679</v>
      </c>
      <c r="C231" s="253" t="s">
        <v>287</v>
      </c>
      <c r="D231" s="252" t="s">
        <v>202</v>
      </c>
      <c r="E231" s="304" t="s">
        <v>448</v>
      </c>
      <c r="F231" s="250">
        <v>68.5</v>
      </c>
      <c r="G231" s="256">
        <f t="shared" si="22"/>
        <v>22.35</v>
      </c>
    </row>
    <row r="232" spans="1:7" ht="31.5">
      <c r="A232" s="252" t="s">
        <v>203</v>
      </c>
      <c r="B232" s="315">
        <v>6193</v>
      </c>
      <c r="C232" s="253" t="s">
        <v>289</v>
      </c>
      <c r="D232" s="252" t="s">
        <v>37</v>
      </c>
      <c r="E232" s="304" t="s">
        <v>449</v>
      </c>
      <c r="F232" s="251">
        <v>11.23</v>
      </c>
      <c r="G232" s="256">
        <f t="shared" si="22"/>
        <v>17.66</v>
      </c>
    </row>
    <row r="233" spans="1:7" ht="21" customHeight="1">
      <c r="A233" s="252" t="s">
        <v>203</v>
      </c>
      <c r="B233" s="301" t="s">
        <v>291</v>
      </c>
      <c r="C233" s="302" t="s">
        <v>292</v>
      </c>
      <c r="D233" s="252" t="s">
        <v>40</v>
      </c>
      <c r="E233" s="303">
        <f>1.56*120</f>
        <v>187.20000000000002</v>
      </c>
      <c r="F233" s="255">
        <v>6</v>
      </c>
      <c r="G233" s="256">
        <f t="shared" ref="G233:G237" si="23">TRUNC(E233*F233,2)</f>
        <v>1123.2</v>
      </c>
    </row>
    <row r="234" spans="1:7" ht="47.25">
      <c r="A234" s="252" t="s">
        <v>209</v>
      </c>
      <c r="B234" s="322">
        <v>87316</v>
      </c>
      <c r="C234" s="253" t="s">
        <v>293</v>
      </c>
      <c r="D234" s="252" t="s">
        <v>33</v>
      </c>
      <c r="E234" s="304" t="s">
        <v>450</v>
      </c>
      <c r="F234" s="250">
        <v>490.17</v>
      </c>
      <c r="G234" s="256">
        <f t="shared" si="23"/>
        <v>24.5</v>
      </c>
    </row>
    <row r="235" spans="1:7" ht="21" customHeight="1">
      <c r="A235" s="252" t="s">
        <v>209</v>
      </c>
      <c r="B235" s="315">
        <v>88309</v>
      </c>
      <c r="C235" s="253" t="s">
        <v>294</v>
      </c>
      <c r="D235" s="252" t="s">
        <v>170</v>
      </c>
      <c r="E235" s="304" t="s">
        <v>451</v>
      </c>
      <c r="F235" s="250">
        <v>26.68</v>
      </c>
      <c r="G235" s="256">
        <f t="shared" si="23"/>
        <v>570.85</v>
      </c>
    </row>
    <row r="236" spans="1:7" ht="21" customHeight="1">
      <c r="A236" s="252" t="s">
        <v>209</v>
      </c>
      <c r="B236" s="315">
        <v>88316</v>
      </c>
      <c r="C236" s="253" t="s">
        <v>173</v>
      </c>
      <c r="D236" s="252" t="s">
        <v>170</v>
      </c>
      <c r="E236" s="304" t="s">
        <v>452</v>
      </c>
      <c r="F236" s="250">
        <v>21.98</v>
      </c>
      <c r="G236" s="256">
        <f t="shared" si="23"/>
        <v>369.51</v>
      </c>
    </row>
    <row r="237" spans="1:7" ht="31.5">
      <c r="A237" s="252" t="s">
        <v>209</v>
      </c>
      <c r="B237" s="315">
        <v>88628</v>
      </c>
      <c r="C237" s="253" t="s">
        <v>297</v>
      </c>
      <c r="D237" s="252" t="s">
        <v>33</v>
      </c>
      <c r="E237" s="304" t="s">
        <v>453</v>
      </c>
      <c r="F237" s="250">
        <v>571.9</v>
      </c>
      <c r="G237" s="256">
        <f t="shared" si="23"/>
        <v>364.81</v>
      </c>
    </row>
    <row r="238" spans="1:7" ht="47.25">
      <c r="A238" s="252" t="s">
        <v>209</v>
      </c>
      <c r="B238" s="322">
        <v>94970</v>
      </c>
      <c r="C238" s="253" t="s">
        <v>301</v>
      </c>
      <c r="D238" s="252" t="s">
        <v>33</v>
      </c>
      <c r="E238" s="304" t="s">
        <v>454</v>
      </c>
      <c r="F238" s="250">
        <v>450.42</v>
      </c>
      <c r="G238" s="256">
        <f t="shared" ref="G238:G239" si="24">TRUNC(E238*F238,2)</f>
        <v>358.08</v>
      </c>
    </row>
    <row r="239" spans="1:7" ht="47.25">
      <c r="A239" s="252" t="s">
        <v>209</v>
      </c>
      <c r="B239" s="315">
        <v>101624</v>
      </c>
      <c r="C239" s="253" t="s">
        <v>441</v>
      </c>
      <c r="D239" s="252" t="s">
        <v>33</v>
      </c>
      <c r="E239" s="304" t="s">
        <v>455</v>
      </c>
      <c r="F239" s="250">
        <v>166.75</v>
      </c>
      <c r="G239" s="256">
        <f t="shared" si="24"/>
        <v>156.87</v>
      </c>
    </row>
    <row r="240" spans="1:7" ht="24.75" customHeight="1">
      <c r="A240" s="258"/>
      <c r="B240" s="258"/>
      <c r="C240" s="259"/>
      <c r="D240" s="260"/>
      <c r="E240" s="247" t="s">
        <v>307</v>
      </c>
      <c r="F240" s="261"/>
      <c r="G240" s="247">
        <f>SUM(G226:G239)</f>
        <v>3036.3699999999994</v>
      </c>
    </row>
    <row r="241" spans="1:7" ht="24.75" customHeight="1">
      <c r="A241" s="258"/>
      <c r="B241" s="258"/>
      <c r="C241" s="259"/>
      <c r="D241" s="260"/>
      <c r="E241" s="262" t="s">
        <v>39</v>
      </c>
      <c r="F241" s="263">
        <v>0.24229999999999999</v>
      </c>
      <c r="G241" s="264">
        <f>TRUNC(G240*F241,2)</f>
        <v>735.71</v>
      </c>
    </row>
    <row r="242" spans="1:7" ht="24.75" customHeight="1">
      <c r="A242" s="258"/>
      <c r="B242" s="258"/>
      <c r="C242" s="259"/>
      <c r="D242" s="260"/>
      <c r="E242" s="265" t="s">
        <v>276</v>
      </c>
      <c r="F242" s="266"/>
      <c r="G242" s="247">
        <f>SUM(G240+G241)</f>
        <v>3772.0799999999995</v>
      </c>
    </row>
    <row r="243" spans="1:7" ht="8.25" customHeight="1"/>
    <row r="244" spans="1:7" ht="31.5">
      <c r="A244" s="239" t="s">
        <v>319</v>
      </c>
      <c r="B244" s="239" t="s">
        <v>193</v>
      </c>
      <c r="C244" s="240" t="s">
        <v>94</v>
      </c>
      <c r="D244" s="239" t="s">
        <v>194</v>
      </c>
      <c r="E244" s="241" t="s">
        <v>195</v>
      </c>
      <c r="F244" s="239" t="s">
        <v>321</v>
      </c>
      <c r="G244" s="241" t="s">
        <v>322</v>
      </c>
    </row>
    <row r="245" spans="1:7" ht="28.5" customHeight="1">
      <c r="A245" s="242" t="s">
        <v>308</v>
      </c>
      <c r="B245" s="243" t="s">
        <v>551</v>
      </c>
      <c r="C245" s="244" t="s">
        <v>344</v>
      </c>
      <c r="D245" s="245" t="s">
        <v>10</v>
      </c>
      <c r="E245" s="246"/>
      <c r="F245" s="246"/>
      <c r="G245" s="247"/>
    </row>
    <row r="246" spans="1:7">
      <c r="A246" s="252" t="s">
        <v>203</v>
      </c>
      <c r="B246" s="322">
        <v>6077</v>
      </c>
      <c r="C246" s="253" t="s">
        <v>344</v>
      </c>
      <c r="D246" s="252" t="s">
        <v>33</v>
      </c>
      <c r="E246" s="304">
        <v>1.4</v>
      </c>
      <c r="F246" s="251">
        <v>36.51</v>
      </c>
      <c r="G246" s="256">
        <f t="shared" ref="G246:G247" si="25">TRUNC(E246*F246,2)</f>
        <v>51.11</v>
      </c>
    </row>
    <row r="247" spans="1:7" ht="31.5">
      <c r="A247" s="252" t="s">
        <v>209</v>
      </c>
      <c r="B247" s="315">
        <v>96385</v>
      </c>
      <c r="C247" s="253" t="s">
        <v>370</v>
      </c>
      <c r="D247" s="252" t="s">
        <v>33</v>
      </c>
      <c r="E247" s="304">
        <v>1</v>
      </c>
      <c r="F247" s="251">
        <v>11.53</v>
      </c>
      <c r="G247" s="256">
        <f t="shared" si="25"/>
        <v>11.53</v>
      </c>
    </row>
    <row r="248" spans="1:7" ht="12.75" customHeight="1">
      <c r="A248" s="252"/>
      <c r="B248" s="315"/>
      <c r="C248" s="253"/>
      <c r="D248" s="252"/>
      <c r="E248" s="304"/>
      <c r="F248" s="250"/>
      <c r="G248" s="256"/>
    </row>
    <row r="249" spans="1:7">
      <c r="A249" s="258"/>
      <c r="B249" s="258"/>
      <c r="C249" s="259"/>
      <c r="D249" s="260"/>
      <c r="E249" s="247" t="s">
        <v>307</v>
      </c>
      <c r="F249" s="261"/>
      <c r="G249" s="247">
        <f>SUM(G246:G248)</f>
        <v>62.64</v>
      </c>
    </row>
    <row r="250" spans="1:7">
      <c r="A250" s="258"/>
      <c r="B250" s="258"/>
      <c r="C250" s="259"/>
      <c r="D250" s="260"/>
      <c r="E250" s="262" t="s">
        <v>39</v>
      </c>
      <c r="F250" s="263">
        <v>0.24229999999999999</v>
      </c>
      <c r="G250" s="264">
        <f>TRUNC(G249*F250,2)</f>
        <v>15.17</v>
      </c>
    </row>
    <row r="251" spans="1:7">
      <c r="A251" s="258"/>
      <c r="B251" s="258"/>
      <c r="C251" s="259"/>
      <c r="D251" s="260"/>
      <c r="E251" s="265" t="s">
        <v>276</v>
      </c>
      <c r="F251" s="266"/>
      <c r="G251" s="247">
        <f>SUM(G249+G250)</f>
        <v>77.81</v>
      </c>
    </row>
  </sheetData>
  <mergeCells count="1">
    <mergeCell ref="A1:G1"/>
  </mergeCells>
  <conditionalFormatting sqref="A62:E69 C61:F61">
    <cfRule type="expression" dxfId="133" priority="253" stopIfTrue="1">
      <formula>AND($A61&lt;&gt;"COMPOSIÇÃO",$A61&lt;&gt;"INSUMO",$A61&lt;&gt;"")</formula>
    </cfRule>
    <cfRule type="expression" dxfId="132" priority="254" stopIfTrue="1">
      <formula>AND(OR($A61="COMPOSIÇÃO",$A61="INSUMO",$A61&lt;&gt;""),$A61&lt;&gt;"")</formula>
    </cfRule>
  </conditionalFormatting>
  <conditionalFormatting sqref="A78:E85 C77:E77 C28:F28 C49:F49 A152:E159 A145:E150 C4:F4 A5 A133:A134 A136:A138 C132:F132 A7:A9 A189:E191 B187:E188 A226:A228 B226:E226 B239:E239 A238:E238 B247:E247">
    <cfRule type="expression" dxfId="131" priority="251" stopIfTrue="1">
      <formula>AND($A4&lt;&gt;"COMPOSICAO",$A4&lt;&gt;"INSUMO",$A4&lt;&gt;"")</formula>
    </cfRule>
    <cfRule type="expression" dxfId="130" priority="252" stopIfTrue="1">
      <formula>AND(OR($A4="COMPOSICAO",$A4="INSUMO",$A4&lt;&gt;""),$A4&lt;&gt;"")</formula>
    </cfRule>
  </conditionalFormatting>
  <conditionalFormatting sqref="F77">
    <cfRule type="expression" dxfId="129" priority="249" stopIfTrue="1">
      <formula>AND($A77&lt;&gt;"COMPOSICAO",$A77&lt;&gt;"INSUMO",$A77&lt;&gt;"")</formula>
    </cfRule>
    <cfRule type="expression" dxfId="128" priority="250" stopIfTrue="1">
      <formula>AND(OR($A77="COMPOSICAO",$A77="INSUMO",$A77&lt;&gt;""),$A77&lt;&gt;"")</formula>
    </cfRule>
  </conditionalFormatting>
  <conditionalFormatting sqref="C93:E93 A94:E104">
    <cfRule type="expression" dxfId="127" priority="247" stopIfTrue="1">
      <formula>AND($A93&lt;&gt;"COMPOSICAO",$A93&lt;&gt;"INSUMO",$A93&lt;&gt;"")</formula>
    </cfRule>
    <cfRule type="expression" dxfId="126" priority="248" stopIfTrue="1">
      <formula>AND(OR($A93="COMPOSICAO",$A93="INSUMO",$A93&lt;&gt;""),$A93&lt;&gt;"")</formula>
    </cfRule>
  </conditionalFormatting>
  <conditionalFormatting sqref="F93">
    <cfRule type="expression" dxfId="125" priority="245" stopIfTrue="1">
      <formula>AND($A93&lt;&gt;"COMPOSICAO",$A93&lt;&gt;"INSUMO",$A93&lt;&gt;"")</formula>
    </cfRule>
    <cfRule type="expression" dxfId="124" priority="246" stopIfTrue="1">
      <formula>AND(OR($A93="COMPOSICAO",$A93="INSUMO",$A93&lt;&gt;""),$A93&lt;&gt;"")</formula>
    </cfRule>
  </conditionalFormatting>
  <conditionalFormatting sqref="A110:E117 A119:E124 A118 C118:E118">
    <cfRule type="expression" dxfId="123" priority="243" stopIfTrue="1">
      <formula>AND($A110&lt;&gt;"COMPOSICAO",$A110&lt;&gt;"INSUMO",$A110&lt;&gt;"")</formula>
    </cfRule>
    <cfRule type="expression" dxfId="122" priority="244" stopIfTrue="1">
      <formula>AND(OR($A110="COMPOSICAO",$A110="INSUMO",$A110&lt;&gt;""),$A110&lt;&gt;"")</formula>
    </cfRule>
  </conditionalFormatting>
  <conditionalFormatting sqref="F110">
    <cfRule type="expression" dxfId="121" priority="241" stopIfTrue="1">
      <formula>AND($A110&lt;&gt;"COMPOSICAO",$A110&lt;&gt;"INSUMO",$A110&lt;&gt;"")</formula>
    </cfRule>
    <cfRule type="expression" dxfId="120" priority="242" stopIfTrue="1">
      <formula>AND(OR($A110="COMPOSICAO",$A110="INSUMO",$A110&lt;&gt;""),$A110&lt;&gt;"")</formula>
    </cfRule>
  </conditionalFormatting>
  <conditionalFormatting sqref="A125:E126">
    <cfRule type="expression" dxfId="119" priority="239" stopIfTrue="1">
      <formula>AND($A125&lt;&gt;"COMPOSICAO",$A125&lt;&gt;"INSUMO",$A125&lt;&gt;"")</formula>
    </cfRule>
    <cfRule type="expression" dxfId="118" priority="240" stopIfTrue="1">
      <formula>AND(OR($A125="COMPOSICAO",$A125="INSUMO",$A125&lt;&gt;""),$A125&lt;&gt;"")</formula>
    </cfRule>
  </conditionalFormatting>
  <conditionalFormatting sqref="A70:E71">
    <cfRule type="expression" dxfId="117" priority="237" stopIfTrue="1">
      <formula>AND($A70&lt;&gt;"COMPOSICAO",$A70&lt;&gt;"INSUMO",$A70&lt;&gt;"")</formula>
    </cfRule>
    <cfRule type="expression" dxfId="116" priority="238" stopIfTrue="1">
      <formula>AND(OR($A70="COMPOSICAO",$A70="INSUMO",$A70&lt;&gt;""),$A70&lt;&gt;"")</formula>
    </cfRule>
  </conditionalFormatting>
  <conditionalFormatting sqref="A86:E87">
    <cfRule type="expression" dxfId="115" priority="235" stopIfTrue="1">
      <formula>AND($A86&lt;&gt;"COMPOSICAO",$A86&lt;&gt;"INSUMO",$A86&lt;&gt;"")</formula>
    </cfRule>
    <cfRule type="expression" dxfId="114" priority="236" stopIfTrue="1">
      <formula>AND(OR($A86="COMPOSICAO",$A86="INSUMO",$A86&lt;&gt;""),$A86&lt;&gt;"")</formula>
    </cfRule>
  </conditionalFormatting>
  <conditionalFormatting sqref="C144:E144">
    <cfRule type="expression" dxfId="113" priority="233" stopIfTrue="1">
      <formula>AND($A144&lt;&gt;"COMPOSICAO",$A144&lt;&gt;"INSUMO",$A144&lt;&gt;"")</formula>
    </cfRule>
    <cfRule type="expression" dxfId="112" priority="234" stopIfTrue="1">
      <formula>AND(OR($A144="COMPOSICAO",$A144="INSUMO",$A144&lt;&gt;""),$A144&lt;&gt;"")</formula>
    </cfRule>
  </conditionalFormatting>
  <conditionalFormatting sqref="F144">
    <cfRule type="expression" dxfId="111" priority="231" stopIfTrue="1">
      <formula>AND($A144&lt;&gt;"COMPOSICAO",$A144&lt;&gt;"INSUMO",$A144&lt;&gt;"")</formula>
    </cfRule>
    <cfRule type="expression" dxfId="110" priority="232" stopIfTrue="1">
      <formula>AND(OR($A144="COMPOSICAO",$A144="INSUMO",$A144&lt;&gt;""),$A144&lt;&gt;"")</formula>
    </cfRule>
  </conditionalFormatting>
  <conditionalFormatting sqref="B151:C151 E151">
    <cfRule type="expression" dxfId="109" priority="229" stopIfTrue="1">
      <formula>AND($A151&lt;&gt;"COMPOSICAO",$A151&lt;&gt;"INSUMO",$A151&lt;&gt;"")</formula>
    </cfRule>
    <cfRule type="expression" dxfId="108" priority="230" stopIfTrue="1">
      <formula>AND(OR($A151="COMPOSICAO",$A151="INSUMO",$A151&lt;&gt;""),$A151&lt;&gt;"")</formula>
    </cfRule>
  </conditionalFormatting>
  <conditionalFormatting sqref="A151">
    <cfRule type="expression" dxfId="107" priority="227" stopIfTrue="1">
      <formula>AND($A151&lt;&gt;"COMPOSICAO",$A151&lt;&gt;"INSUMO",$A151&lt;&gt;"")</formula>
    </cfRule>
    <cfRule type="expression" dxfId="106" priority="228" stopIfTrue="1">
      <formula>AND(OR($A151="COMPOSICAO",$A151="INSUMO",$A151&lt;&gt;""),$A151&lt;&gt;"")</formula>
    </cfRule>
  </conditionalFormatting>
  <conditionalFormatting sqref="D151">
    <cfRule type="expression" dxfId="105" priority="225" stopIfTrue="1">
      <formula>AND($A151&lt;&gt;"COMPOSICAO",$A151&lt;&gt;"INSUMO",$A151&lt;&gt;"")</formula>
    </cfRule>
    <cfRule type="expression" dxfId="104" priority="226" stopIfTrue="1">
      <formula>AND(OR($A151="COMPOSICAO",$A151="INSUMO",$A151&lt;&gt;""),$A151&lt;&gt;"")</formula>
    </cfRule>
  </conditionalFormatting>
  <conditionalFormatting sqref="C173:E180 C166:E171">
    <cfRule type="expression" dxfId="103" priority="183" stopIfTrue="1">
      <formula>AND($A166&lt;&gt;"COMPOSICAO",$A166&lt;&gt;"INSUMO",$A166&lt;&gt;"")</formula>
    </cfRule>
    <cfRule type="expression" dxfId="102" priority="184" stopIfTrue="1">
      <formula>AND(OR($A166="COMPOSICAO",$A166="INSUMO",$A166&lt;&gt;""),$A166&lt;&gt;"")</formula>
    </cfRule>
  </conditionalFormatting>
  <conditionalFormatting sqref="C165:E165">
    <cfRule type="expression" dxfId="101" priority="181" stopIfTrue="1">
      <formula>AND($A165&lt;&gt;"COMPOSICAO",$A165&lt;&gt;"INSUMO",$A165&lt;&gt;"")</formula>
    </cfRule>
    <cfRule type="expression" dxfId="100" priority="182" stopIfTrue="1">
      <formula>AND(OR($A165="COMPOSICAO",$A165="INSUMO",$A165&lt;&gt;""),$A165&lt;&gt;"")</formula>
    </cfRule>
  </conditionalFormatting>
  <conditionalFormatting sqref="F165">
    <cfRule type="expression" dxfId="99" priority="179" stopIfTrue="1">
      <formula>AND($A165&lt;&gt;"COMPOSICAO",$A165&lt;&gt;"INSUMO",$A165&lt;&gt;"")</formula>
    </cfRule>
    <cfRule type="expression" dxfId="98" priority="180" stopIfTrue="1">
      <formula>AND(OR($A165="COMPOSICAO",$A165="INSUMO",$A165&lt;&gt;""),$A165&lt;&gt;"")</formula>
    </cfRule>
  </conditionalFormatting>
  <conditionalFormatting sqref="C172 E172">
    <cfRule type="expression" dxfId="97" priority="177" stopIfTrue="1">
      <formula>AND($A172&lt;&gt;"COMPOSICAO",$A172&lt;&gt;"INSUMO",$A172&lt;&gt;"")</formula>
    </cfRule>
    <cfRule type="expression" dxfId="96" priority="178" stopIfTrue="1">
      <formula>AND(OR($A172="COMPOSICAO",$A172="INSUMO",$A172&lt;&gt;""),$A172&lt;&gt;"")</formula>
    </cfRule>
  </conditionalFormatting>
  <conditionalFormatting sqref="D172">
    <cfRule type="expression" dxfId="95" priority="173" stopIfTrue="1">
      <formula>AND($A172&lt;&gt;"COMPOSICAO",$A172&lt;&gt;"INSUMO",$A172&lt;&gt;"")</formula>
    </cfRule>
    <cfRule type="expression" dxfId="94" priority="174" stopIfTrue="1">
      <formula>AND(OR($A172="COMPOSICAO",$A172="INSUMO",$A172&lt;&gt;""),$A172&lt;&gt;"")</formula>
    </cfRule>
  </conditionalFormatting>
  <conditionalFormatting sqref="A6:E6">
    <cfRule type="expression" dxfId="93" priority="171" stopIfTrue="1">
      <formula>AND($A6&lt;&gt;"COMPOSICAO",$A6&lt;&gt;"INSUMO",$A6&lt;&gt;"")</formula>
    </cfRule>
    <cfRule type="expression" dxfId="92" priority="172" stopIfTrue="1">
      <formula>AND(OR($A6="COMPOSICAO",$A6="INSUMO",$A6&lt;&gt;""),$A6&lt;&gt;"")</formula>
    </cfRule>
  </conditionalFormatting>
  <conditionalFormatting sqref="B118">
    <cfRule type="expression" dxfId="91" priority="169" stopIfTrue="1">
      <formula>AND($A118&lt;&gt;"COMPOSICAO",$A118&lt;&gt;"INSUMO",$A118&lt;&gt;"")</formula>
    </cfRule>
    <cfRule type="expression" dxfId="90" priority="170" stopIfTrue="1">
      <formula>AND(OR($A118="COMPOSICAO",$A118="INSUMO",$A118&lt;&gt;""),$A118&lt;&gt;"")</formula>
    </cfRule>
  </conditionalFormatting>
  <conditionalFormatting sqref="C186:E186">
    <cfRule type="expression" dxfId="89" priority="165" stopIfTrue="1">
      <formula>AND($A186&lt;&gt;"COMPOSICAO",$A186&lt;&gt;"INSUMO",$A186&lt;&gt;"")</formula>
    </cfRule>
    <cfRule type="expression" dxfId="88" priority="166" stopIfTrue="1">
      <formula>AND(OR($A186="COMPOSICAO",$A186="INSUMO",$A186&lt;&gt;""),$A186&lt;&gt;"")</formula>
    </cfRule>
  </conditionalFormatting>
  <conditionalFormatting sqref="F186">
    <cfRule type="expression" dxfId="87" priority="163" stopIfTrue="1">
      <formula>AND($A186&lt;&gt;"COMPOSICAO",$A186&lt;&gt;"INSUMO",$A186&lt;&gt;"")</formula>
    </cfRule>
    <cfRule type="expression" dxfId="86" priority="164" stopIfTrue="1">
      <formula>AND(OR($A186="COMPOSICAO",$A186="INSUMO",$A186&lt;&gt;""),$A186&lt;&gt;"")</formula>
    </cfRule>
  </conditionalFormatting>
  <conditionalFormatting sqref="A187:A188">
    <cfRule type="expression" dxfId="85" priority="155" stopIfTrue="1">
      <formula>AND($A187&lt;&gt;"COMPOSICAO",$A187&lt;&gt;"INSUMO",$A187&lt;&gt;"")</formula>
    </cfRule>
    <cfRule type="expression" dxfId="84" priority="156" stopIfTrue="1">
      <formula>AND(OR($A187="COMPOSICAO",$A187="INSUMO",$A187&lt;&gt;""),$A187&lt;&gt;"")</formula>
    </cfRule>
  </conditionalFormatting>
  <conditionalFormatting sqref="B198:E202">
    <cfRule type="expression" dxfId="83" priority="153" stopIfTrue="1">
      <formula>AND($A198&lt;&gt;"COMPOSICAO",$A198&lt;&gt;"INSUMO",$A198&lt;&gt;"")</formula>
    </cfRule>
    <cfRule type="expression" dxfId="82" priority="154" stopIfTrue="1">
      <formula>AND(OR($A198="COMPOSICAO",$A198="INSUMO",$A198&lt;&gt;""),$A198&lt;&gt;"")</formula>
    </cfRule>
  </conditionalFormatting>
  <conditionalFormatting sqref="C197:E197">
    <cfRule type="expression" dxfId="81" priority="151" stopIfTrue="1">
      <formula>AND($A197&lt;&gt;"COMPOSICAO",$A197&lt;&gt;"INSUMO",$A197&lt;&gt;"")</formula>
    </cfRule>
    <cfRule type="expression" dxfId="80" priority="152" stopIfTrue="1">
      <formula>AND(OR($A197="COMPOSICAO",$A197="INSUMO",$A197&lt;&gt;""),$A197&lt;&gt;"")</formula>
    </cfRule>
  </conditionalFormatting>
  <conditionalFormatting sqref="F197">
    <cfRule type="expression" dxfId="79" priority="149" stopIfTrue="1">
      <formula>AND($A197&lt;&gt;"COMPOSICAO",$A197&lt;&gt;"INSUMO",$A197&lt;&gt;"")</formula>
    </cfRule>
    <cfRule type="expression" dxfId="78" priority="150" stopIfTrue="1">
      <formula>AND(OR($A197="COMPOSICAO",$A197="INSUMO",$A197&lt;&gt;""),$A197&lt;&gt;"")</formula>
    </cfRule>
  </conditionalFormatting>
  <conditionalFormatting sqref="B203:E205">
    <cfRule type="expression" dxfId="77" priority="145" stopIfTrue="1">
      <formula>AND($A203&lt;&gt;"COMPOSICAO",$A203&lt;&gt;"INSUMO",$A203&lt;&gt;"")</formula>
    </cfRule>
    <cfRule type="expression" dxfId="76" priority="146" stopIfTrue="1">
      <formula>AND(OR($A203="COMPOSICAO",$A203="INSUMO",$A203&lt;&gt;""),$A203&lt;&gt;"")</formula>
    </cfRule>
  </conditionalFormatting>
  <conditionalFormatting sqref="A198:A201">
    <cfRule type="expression" dxfId="75" priority="143" stopIfTrue="1">
      <formula>AND($A198&lt;&gt;"COMPOSICAO",$A198&lt;&gt;"INSUMO",$A198&lt;&gt;"")</formula>
    </cfRule>
    <cfRule type="expression" dxfId="74" priority="144" stopIfTrue="1">
      <formula>AND(OR($A198="COMPOSICAO",$A198="INSUMO",$A198&lt;&gt;""),$A198&lt;&gt;"")</formula>
    </cfRule>
  </conditionalFormatting>
  <conditionalFormatting sqref="A202">
    <cfRule type="expression" dxfId="73" priority="141" stopIfTrue="1">
      <formula>AND($A202&lt;&gt;"COMPOSICAO",$A202&lt;&gt;"INSUMO",$A202&lt;&gt;"")</formula>
    </cfRule>
    <cfRule type="expression" dxfId="72" priority="142" stopIfTrue="1">
      <formula>AND(OR($A202="COMPOSICAO",$A202="INSUMO",$A202&lt;&gt;""),$A202&lt;&gt;"")</formula>
    </cfRule>
  </conditionalFormatting>
  <conditionalFormatting sqref="A203:A204">
    <cfRule type="expression" dxfId="71" priority="139" stopIfTrue="1">
      <formula>AND($A203&lt;&gt;"COMPOSICAO",$A203&lt;&gt;"INSUMO",$A203&lt;&gt;"")</formula>
    </cfRule>
    <cfRule type="expression" dxfId="70" priority="140" stopIfTrue="1">
      <formula>AND(OR($A203="COMPOSICAO",$A203="INSUMO",$A203&lt;&gt;""),$A203&lt;&gt;"")</formula>
    </cfRule>
  </conditionalFormatting>
  <conditionalFormatting sqref="A205">
    <cfRule type="expression" dxfId="69" priority="137" stopIfTrue="1">
      <formula>AND($A205&lt;&gt;"COMPOSICAO",$A205&lt;&gt;"INSUMO",$A205&lt;&gt;"")</formula>
    </cfRule>
    <cfRule type="expression" dxfId="68" priority="138" stopIfTrue="1">
      <formula>AND(OR($A205="COMPOSICAO",$A205="INSUMO",$A205&lt;&gt;""),$A205&lt;&gt;"")</formula>
    </cfRule>
  </conditionalFormatting>
  <conditionalFormatting sqref="A173:B180 A166:B171">
    <cfRule type="expression" dxfId="67" priority="135" stopIfTrue="1">
      <formula>AND($A166&lt;&gt;"COMPOSICAO",$A166&lt;&gt;"INSUMO",$A166&lt;&gt;"")</formula>
    </cfRule>
    <cfRule type="expression" dxfId="66" priority="136" stopIfTrue="1">
      <formula>AND(OR($A166="COMPOSICAO",$A166="INSUMO",$A166&lt;&gt;""),$A166&lt;&gt;"")</formula>
    </cfRule>
  </conditionalFormatting>
  <conditionalFormatting sqref="B172">
    <cfRule type="expression" dxfId="65" priority="133" stopIfTrue="1">
      <formula>AND($A172&lt;&gt;"COMPOSICAO",$A172&lt;&gt;"INSUMO",$A172&lt;&gt;"")</formula>
    </cfRule>
    <cfRule type="expression" dxfId="64" priority="134" stopIfTrue="1">
      <formula>AND(OR($A172="COMPOSICAO",$A172="INSUMO",$A172&lt;&gt;""),$A172&lt;&gt;"")</formula>
    </cfRule>
  </conditionalFormatting>
  <conditionalFormatting sqref="A172">
    <cfRule type="expression" dxfId="63" priority="131" stopIfTrue="1">
      <formula>AND($A172&lt;&gt;"COMPOSICAO",$A172&lt;&gt;"INSUMO",$A172&lt;&gt;"")</formula>
    </cfRule>
    <cfRule type="expression" dxfId="62" priority="132" stopIfTrue="1">
      <formula>AND(OR($A172="COMPOSICAO",$A172="INSUMO",$A172&lt;&gt;""),$A172&lt;&gt;"")</formula>
    </cfRule>
  </conditionalFormatting>
  <conditionalFormatting sqref="B214:E216 B212:D213">
    <cfRule type="expression" dxfId="61" priority="129" stopIfTrue="1">
      <formula>AND($A212&lt;&gt;"COMPOSICAO",$A212&lt;&gt;"INSUMO",$A212&lt;&gt;"")</formula>
    </cfRule>
    <cfRule type="expression" dxfId="60" priority="130" stopIfTrue="1">
      <formula>AND(OR($A212="COMPOSICAO",$A212="INSUMO",$A212&lt;&gt;""),$A212&lt;&gt;"")</formula>
    </cfRule>
  </conditionalFormatting>
  <conditionalFormatting sqref="C211:E211">
    <cfRule type="expression" dxfId="59" priority="127" stopIfTrue="1">
      <formula>AND($A211&lt;&gt;"COMPOSICAO",$A211&lt;&gt;"INSUMO",$A211&lt;&gt;"")</formula>
    </cfRule>
    <cfRule type="expression" dxfId="58" priority="128" stopIfTrue="1">
      <formula>AND(OR($A211="COMPOSICAO",$A211="INSUMO",$A211&lt;&gt;""),$A211&lt;&gt;"")</formula>
    </cfRule>
  </conditionalFormatting>
  <conditionalFormatting sqref="F211">
    <cfRule type="expression" dxfId="57" priority="125" stopIfTrue="1">
      <formula>AND($A211&lt;&gt;"COMPOSICAO",$A211&lt;&gt;"INSUMO",$A211&lt;&gt;"")</formula>
    </cfRule>
    <cfRule type="expression" dxfId="56" priority="126" stopIfTrue="1">
      <formula>AND(OR($A211="COMPOSICAO",$A211="INSUMO",$A211&lt;&gt;""),$A211&lt;&gt;"")</formula>
    </cfRule>
  </conditionalFormatting>
  <conditionalFormatting sqref="B217:E219">
    <cfRule type="expression" dxfId="55" priority="123" stopIfTrue="1">
      <formula>AND($A217&lt;&gt;"COMPOSICAO",$A217&lt;&gt;"INSUMO",$A217&lt;&gt;"")</formula>
    </cfRule>
    <cfRule type="expression" dxfId="54" priority="124" stopIfTrue="1">
      <formula>AND(OR($A217="COMPOSICAO",$A217="INSUMO",$A217&lt;&gt;""),$A217&lt;&gt;"")</formula>
    </cfRule>
  </conditionalFormatting>
  <conditionalFormatting sqref="A212:A215">
    <cfRule type="expression" dxfId="53" priority="121" stopIfTrue="1">
      <formula>AND($A212&lt;&gt;"COMPOSICAO",$A212&lt;&gt;"INSUMO",$A212&lt;&gt;"")</formula>
    </cfRule>
    <cfRule type="expression" dxfId="52" priority="122" stopIfTrue="1">
      <formula>AND(OR($A212="COMPOSICAO",$A212="INSUMO",$A212&lt;&gt;""),$A212&lt;&gt;"")</formula>
    </cfRule>
  </conditionalFormatting>
  <conditionalFormatting sqref="A216">
    <cfRule type="expression" dxfId="51" priority="119" stopIfTrue="1">
      <formula>AND($A216&lt;&gt;"COMPOSICAO",$A216&lt;&gt;"INSUMO",$A216&lt;&gt;"")</formula>
    </cfRule>
    <cfRule type="expression" dxfId="50" priority="120" stopIfTrue="1">
      <formula>AND(OR($A216="COMPOSICAO",$A216="INSUMO",$A216&lt;&gt;""),$A216&lt;&gt;"")</formula>
    </cfRule>
  </conditionalFormatting>
  <conditionalFormatting sqref="A217:A218">
    <cfRule type="expression" dxfId="49" priority="117" stopIfTrue="1">
      <formula>AND($A217&lt;&gt;"COMPOSICAO",$A217&lt;&gt;"INSUMO",$A217&lt;&gt;"")</formula>
    </cfRule>
    <cfRule type="expression" dxfId="48" priority="118" stopIfTrue="1">
      <formula>AND(OR($A217="COMPOSICAO",$A217="INSUMO",$A217&lt;&gt;""),$A217&lt;&gt;"")</formula>
    </cfRule>
  </conditionalFormatting>
  <conditionalFormatting sqref="A219">
    <cfRule type="expression" dxfId="47" priority="115" stopIfTrue="1">
      <formula>AND($A219&lt;&gt;"COMPOSICAO",$A219&lt;&gt;"INSUMO",$A219&lt;&gt;"")</formula>
    </cfRule>
    <cfRule type="expression" dxfId="46" priority="116" stopIfTrue="1">
      <formula>AND(OR($A219="COMPOSICAO",$A219="INSUMO",$A219&lt;&gt;""),$A219&lt;&gt;"")</formula>
    </cfRule>
  </conditionalFormatting>
  <conditionalFormatting sqref="E212:E213">
    <cfRule type="expression" dxfId="45" priority="113" stopIfTrue="1">
      <formula>AND($A212&lt;&gt;"COMPOSICAO",$A212&lt;&gt;"INSUMO",$A212&lt;&gt;"")</formula>
    </cfRule>
    <cfRule type="expression" dxfId="44" priority="114" stopIfTrue="1">
      <formula>AND(OR($A212="COMPOSICAO",$A212="INSUMO",$A212&lt;&gt;""),$A212&lt;&gt;"")</formula>
    </cfRule>
  </conditionalFormatting>
  <conditionalFormatting sqref="B227:E229">
    <cfRule type="expression" dxfId="43" priority="111" stopIfTrue="1">
      <formula>AND($A227&lt;&gt;"COMPOSICAO",$A227&lt;&gt;"INSUMO",$A227&lt;&gt;"")</formula>
    </cfRule>
    <cfRule type="expression" dxfId="42" priority="112" stopIfTrue="1">
      <formula>AND(OR($A227="COMPOSICAO",$A227="INSUMO",$A227&lt;&gt;""),$A227&lt;&gt;"")</formula>
    </cfRule>
  </conditionalFormatting>
  <conditionalFormatting sqref="D225:E225">
    <cfRule type="expression" dxfId="41" priority="109" stopIfTrue="1">
      <formula>AND($A225&lt;&gt;"COMPOSICAO",$A225&lt;&gt;"INSUMO",$A225&lt;&gt;"")</formula>
    </cfRule>
    <cfRule type="expression" dxfId="40" priority="110" stopIfTrue="1">
      <formula>AND(OR($A225="COMPOSICAO",$A225="INSUMO",$A225&lt;&gt;""),$A225&lt;&gt;"")</formula>
    </cfRule>
  </conditionalFormatting>
  <conditionalFormatting sqref="F225">
    <cfRule type="expression" dxfId="39" priority="107" stopIfTrue="1">
      <formula>AND($A225&lt;&gt;"COMPOSICAO",$A225&lt;&gt;"INSUMO",$A225&lt;&gt;"")</formula>
    </cfRule>
    <cfRule type="expression" dxfId="38" priority="108" stopIfTrue="1">
      <formula>AND(OR($A225="COMPOSICAO",$A225="INSUMO",$A225&lt;&gt;""),$A225&lt;&gt;"")</formula>
    </cfRule>
  </conditionalFormatting>
  <conditionalFormatting sqref="B230:E232">
    <cfRule type="expression" dxfId="37" priority="105" stopIfTrue="1">
      <formula>AND($A230&lt;&gt;"COMPOSICAO",$A230&lt;&gt;"INSUMO",$A230&lt;&gt;"")</formula>
    </cfRule>
    <cfRule type="expression" dxfId="36" priority="106" stopIfTrue="1">
      <formula>AND(OR($A230="COMPOSICAO",$A230="INSUMO",$A230&lt;&gt;""),$A230&lt;&gt;"")</formula>
    </cfRule>
  </conditionalFormatting>
  <conditionalFormatting sqref="A229">
    <cfRule type="expression" dxfId="35" priority="101" stopIfTrue="1">
      <formula>AND($A229&lt;&gt;"COMPOSICAO",$A229&lt;&gt;"INSUMO",$A229&lt;&gt;"")</formula>
    </cfRule>
    <cfRule type="expression" dxfId="34" priority="102" stopIfTrue="1">
      <formula>AND(OR($A229="COMPOSICAO",$A229="INSUMO",$A229&lt;&gt;""),$A229&lt;&gt;"")</formula>
    </cfRule>
  </conditionalFormatting>
  <conditionalFormatting sqref="A230:A231">
    <cfRule type="expression" dxfId="33" priority="99" stopIfTrue="1">
      <formula>AND($A230&lt;&gt;"COMPOSICAO",$A230&lt;&gt;"INSUMO",$A230&lt;&gt;"")</formula>
    </cfRule>
    <cfRule type="expression" dxfId="32" priority="100" stopIfTrue="1">
      <formula>AND(OR($A230="COMPOSICAO",$A230="INSUMO",$A230&lt;&gt;""),$A230&lt;&gt;"")</formula>
    </cfRule>
  </conditionalFormatting>
  <conditionalFormatting sqref="A232">
    <cfRule type="expression" dxfId="31" priority="97" stopIfTrue="1">
      <formula>AND($A232&lt;&gt;"COMPOSICAO",$A232&lt;&gt;"INSUMO",$A232&lt;&gt;"")</formula>
    </cfRule>
    <cfRule type="expression" dxfId="30" priority="98" stopIfTrue="1">
      <formula>AND(OR($A232="COMPOSICAO",$A232="INSUMO",$A232&lt;&gt;""),$A232&lt;&gt;"")</formula>
    </cfRule>
  </conditionalFormatting>
  <conditionalFormatting sqref="C225">
    <cfRule type="expression" dxfId="29" priority="93" stopIfTrue="1">
      <formula>AND($A225&lt;&gt;"COMPOSICAO",$A225&lt;&gt;"INSUMO",$A225&lt;&gt;"")</formula>
    </cfRule>
    <cfRule type="expression" dxfId="28" priority="94" stopIfTrue="1">
      <formula>AND(OR($A225="COMPOSICAO",$A225="INSUMO",$A225&lt;&gt;""),$A225&lt;&gt;"")</formula>
    </cfRule>
  </conditionalFormatting>
  <conditionalFormatting sqref="B235:E237 B234:D234 D233">
    <cfRule type="expression" dxfId="27" priority="91" stopIfTrue="1">
      <formula>AND($A233&lt;&gt;"COMPOSICAO",$A233&lt;&gt;"INSUMO",$A233&lt;&gt;"")</formula>
    </cfRule>
    <cfRule type="expression" dxfId="26" priority="92" stopIfTrue="1">
      <formula>AND(OR($A233="COMPOSICAO",$A233="INSUMO",$A233&lt;&gt;""),$A233&lt;&gt;"")</formula>
    </cfRule>
  </conditionalFormatting>
  <conditionalFormatting sqref="A233:A236">
    <cfRule type="expression" dxfId="25" priority="87" stopIfTrue="1">
      <formula>AND($A233&lt;&gt;"COMPOSICAO",$A233&lt;&gt;"INSUMO",$A233&lt;&gt;"")</formula>
    </cfRule>
    <cfRule type="expression" dxfId="24" priority="88" stopIfTrue="1">
      <formula>AND(OR($A233="COMPOSICAO",$A233="INSUMO",$A233&lt;&gt;""),$A233&lt;&gt;"")</formula>
    </cfRule>
  </conditionalFormatting>
  <conditionalFormatting sqref="A237">
    <cfRule type="expression" dxfId="23" priority="85" stopIfTrue="1">
      <formula>AND($A237&lt;&gt;"COMPOSICAO",$A237&lt;&gt;"INSUMO",$A237&lt;&gt;"")</formula>
    </cfRule>
    <cfRule type="expression" dxfId="22" priority="86" stopIfTrue="1">
      <formula>AND(OR($A237="COMPOSICAO",$A237="INSUMO",$A237&lt;&gt;""),$A237&lt;&gt;"")</formula>
    </cfRule>
  </conditionalFormatting>
  <conditionalFormatting sqref="E234">
    <cfRule type="expression" dxfId="21" priority="79" stopIfTrue="1">
      <formula>AND($A234&lt;&gt;"COMPOSICAO",$A234&lt;&gt;"INSUMO",$A234&lt;&gt;"")</formula>
    </cfRule>
    <cfRule type="expression" dxfId="20" priority="80" stopIfTrue="1">
      <formula>AND(OR($A234="COMPOSICAO",$A234="INSUMO",$A234&lt;&gt;""),$A234&lt;&gt;"")</formula>
    </cfRule>
  </conditionalFormatting>
  <conditionalFormatting sqref="A239">
    <cfRule type="expression" dxfId="19" priority="67" stopIfTrue="1">
      <formula>AND($A239&lt;&gt;"COMPOSICAO",$A239&lt;&gt;"INSUMO",$A239&lt;&gt;"")</formula>
    </cfRule>
    <cfRule type="expression" dxfId="18" priority="68" stopIfTrue="1">
      <formula>AND(OR($A239="COMPOSICAO",$A239="INSUMO",$A239&lt;&gt;""),$A239&lt;&gt;"")</formula>
    </cfRule>
  </conditionalFormatting>
  <conditionalFormatting sqref="C233">
    <cfRule type="expression" dxfId="17" priority="59" stopIfTrue="1">
      <formula>AND($A233&lt;&gt;"COMPOSICAO",$A233&lt;&gt;"INSUMO",$A233&lt;&gt;"")</formula>
    </cfRule>
    <cfRule type="expression" dxfId="16" priority="60" stopIfTrue="1">
      <formula>AND(OR($A233="COMPOSICAO",$A233="INSUMO",$A233&lt;&gt;""),$A233&lt;&gt;"")</formula>
    </cfRule>
  </conditionalFormatting>
  <conditionalFormatting sqref="B233">
    <cfRule type="expression" dxfId="15" priority="57" stopIfTrue="1">
      <formula>AND($A233&lt;&gt;"COMPOSICAO",$A233&lt;&gt;"INSUMO",$A233&lt;&gt;"")</formula>
    </cfRule>
    <cfRule type="expression" dxfId="14" priority="58" stopIfTrue="1">
      <formula>AND(OR($A233="COMPOSICAO",$A233="INSUMO",$A233&lt;&gt;""),$A233&lt;&gt;"")</formula>
    </cfRule>
  </conditionalFormatting>
  <conditionalFormatting sqref="E233">
    <cfRule type="expression" dxfId="13" priority="55" stopIfTrue="1">
      <formula>AND($A233&lt;&gt;"COMPOSICAO",$A233&lt;&gt;"INSUMO",$A233&lt;&gt;"")</formula>
    </cfRule>
    <cfRule type="expression" dxfId="12" priority="56" stopIfTrue="1">
      <formula>AND(OR($A233="COMPOSICAO",$A233="INSUMO",$A233&lt;&gt;""),$A233&lt;&gt;"")</formula>
    </cfRule>
  </conditionalFormatting>
  <conditionalFormatting sqref="A248">
    <cfRule type="expression" dxfId="11" priority="9" stopIfTrue="1">
      <formula>AND($A248&lt;&gt;"COMPOSICAO",$A248&lt;&gt;"INSUMO",$A248&lt;&gt;"")</formula>
    </cfRule>
    <cfRule type="expression" dxfId="10" priority="10" stopIfTrue="1">
      <formula>AND(OR($A248="COMPOSICAO",$A248="INSUMO",$A248&lt;&gt;""),$A248&lt;&gt;"")</formula>
    </cfRule>
  </conditionalFormatting>
  <conditionalFormatting sqref="A247">
    <cfRule type="expression" dxfId="9" priority="1" stopIfTrue="1">
      <formula>AND($A247&lt;&gt;"COMPOSICAO",$A247&lt;&gt;"INSUMO",$A247&lt;&gt;"")</formula>
    </cfRule>
    <cfRule type="expression" dxfId="8" priority="2" stopIfTrue="1">
      <formula>AND(OR($A247="COMPOSICAO",$A247="INSUMO",$A247&lt;&gt;""),$A247&lt;&gt;"")</formula>
    </cfRule>
  </conditionalFormatting>
  <conditionalFormatting sqref="A246:E246 B248:E248">
    <cfRule type="expression" dxfId="7" priority="35" stopIfTrue="1">
      <formula>AND($A246&lt;&gt;"COMPOSICAO",$A246&lt;&gt;"INSUMO",$A246&lt;&gt;"")</formula>
    </cfRule>
    <cfRule type="expression" dxfId="6" priority="36" stopIfTrue="1">
      <formula>AND(OR($A246="COMPOSICAO",$A246="INSUMO",$A246&lt;&gt;""),$A246&lt;&gt;"")</formula>
    </cfRule>
  </conditionalFormatting>
  <conditionalFormatting sqref="D245:E245">
    <cfRule type="expression" dxfId="5" priority="31" stopIfTrue="1">
      <formula>AND($A245&lt;&gt;"COMPOSICAO",$A245&lt;&gt;"INSUMO",$A245&lt;&gt;"")</formula>
    </cfRule>
    <cfRule type="expression" dxfId="4" priority="32" stopIfTrue="1">
      <formula>AND(OR($A245="COMPOSICAO",$A245="INSUMO",$A245&lt;&gt;""),$A245&lt;&gt;"")</formula>
    </cfRule>
  </conditionalFormatting>
  <conditionalFormatting sqref="F245">
    <cfRule type="expression" dxfId="3" priority="29" stopIfTrue="1">
      <formula>AND($A245&lt;&gt;"COMPOSICAO",$A245&lt;&gt;"INSUMO",$A245&lt;&gt;"")</formula>
    </cfRule>
    <cfRule type="expression" dxfId="2" priority="30" stopIfTrue="1">
      <formula>AND(OR($A245="COMPOSICAO",$A245="INSUMO",$A245&lt;&gt;""),$A245&lt;&gt;"")</formula>
    </cfRule>
  </conditionalFormatting>
  <conditionalFormatting sqref="C245">
    <cfRule type="expression" dxfId="1" priority="19" stopIfTrue="1">
      <formula>AND($A245&lt;&gt;"COMPOSICAO",$A245&lt;&gt;"INSUMO",$A245&lt;&gt;"")</formula>
    </cfRule>
    <cfRule type="expression" dxfId="0" priority="20" stopIfTrue="1">
      <formula>AND(OR($A245="COMPOSICAO",$A245="INSUMO",$A245&lt;&gt;""),$A245&lt;&gt;"")</formula>
    </cfRule>
  </conditionalFormatting>
  <pageMargins left="0.511811024" right="0.511811024" top="0.78740157499999996" bottom="0.78740157499999996" header="0.31496062000000002" footer="0.31496062000000002"/>
  <pageSetup paperSize="9" scale="55" fitToHeight="0" orientation="portrait" r:id="rId1"/>
  <rowBreaks count="2" manualBreakCount="2">
    <brk id="46" max="16383" man="1"/>
    <brk id="86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U98"/>
  <sheetViews>
    <sheetView showGridLines="0" view="pageBreakPreview" topLeftCell="A19" zoomScale="50" zoomScaleNormal="50" zoomScaleSheetLayoutView="50" workbookViewId="0">
      <selection activeCell="E34" sqref="E34"/>
    </sheetView>
  </sheetViews>
  <sheetFormatPr defaultColWidth="9.140625" defaultRowHeight="21.95" customHeight="1"/>
  <cols>
    <col min="1" max="1" width="12.42578125" style="233" customWidth="1"/>
    <col min="2" max="2" width="128" style="234" customWidth="1"/>
    <col min="3" max="3" width="13.140625" style="207" customWidth="1"/>
    <col min="4" max="4" width="18.28515625" style="207" customWidth="1"/>
    <col min="5" max="5" width="125.5703125" style="207" customWidth="1"/>
    <col min="6" max="6" width="14.140625" style="201" customWidth="1"/>
    <col min="7" max="7" width="14.140625" style="348" customWidth="1"/>
    <col min="8" max="12" width="14.140625" style="201" customWidth="1"/>
    <col min="13" max="13" width="15.42578125" style="201" customWidth="1"/>
    <col min="14" max="14" width="30.28515625" style="207" customWidth="1"/>
    <col min="15" max="15" width="25.42578125" style="207" customWidth="1"/>
    <col min="16" max="16" width="38.7109375" style="207" bestFit="1" customWidth="1"/>
    <col min="17" max="17" width="34.7109375" style="207" bestFit="1" customWidth="1"/>
    <col min="18" max="19" width="38.7109375" style="207" bestFit="1" customWidth="1"/>
    <col min="20" max="36" width="9.140625" style="207" customWidth="1"/>
    <col min="37" max="16384" width="9.140625" style="207"/>
  </cols>
  <sheetData>
    <row r="1" spans="1:17" s="200" customFormat="1" ht="18">
      <c r="F1" s="201"/>
      <c r="G1" s="348"/>
      <c r="H1" s="201"/>
      <c r="I1" s="201"/>
      <c r="J1" s="201"/>
      <c r="K1" s="201"/>
      <c r="L1" s="201"/>
      <c r="M1" s="201"/>
    </row>
    <row r="2" spans="1:17" s="200" customFormat="1" ht="26.25" customHeight="1">
      <c r="A2" s="202" t="str">
        <f>'Orçamento '!$A$2</f>
        <v>PREFEITURA MUNICIPAL DE CRUZEIRO DO SUL - RS</v>
      </c>
      <c r="E2" s="203" t="str">
        <f>'Orçamento '!$G$2</f>
        <v>Cruzeiro do Sul/RS, Outubro de 2023.</v>
      </c>
      <c r="F2" s="201"/>
      <c r="G2" s="348"/>
      <c r="H2" s="201"/>
      <c r="I2" s="201"/>
      <c r="J2" s="201"/>
      <c r="K2" s="201"/>
      <c r="L2" s="201"/>
      <c r="M2" s="201"/>
    </row>
    <row r="3" spans="1:17" s="200" customFormat="1" ht="20.25" customHeight="1">
      <c r="A3" s="204" t="str">
        <f>'Orçamento '!$A$3</f>
        <v>LOCAL:</v>
      </c>
      <c r="B3" s="204" t="str">
        <f>'Orçamento '!$B$3</f>
        <v>RUA PROFESSOR ALOÍZIO ROMEU SIEBEN - ESTRADA SÃO RAFAEL</v>
      </c>
      <c r="C3" s="205"/>
      <c r="D3" s="205"/>
      <c r="F3" s="201"/>
      <c r="G3" s="348"/>
      <c r="H3" s="201"/>
      <c r="I3" s="201"/>
      <c r="J3" s="201"/>
      <c r="K3" s="201"/>
      <c r="L3" s="201"/>
      <c r="M3" s="201"/>
    </row>
    <row r="4" spans="1:17" s="200" customFormat="1" ht="20.25" customHeight="1">
      <c r="A4" s="204" t="str">
        <f>'Orçamento '!$A$4</f>
        <v xml:space="preserve">TRECHO: </v>
      </c>
      <c r="B4" s="204" t="str">
        <f>'Orçamento '!$B$4</f>
        <v>ENTRE A RSC-453 SENTIDO AO INTERIOR</v>
      </c>
      <c r="C4" s="205"/>
      <c r="D4" s="205"/>
      <c r="E4" s="203"/>
      <c r="F4" s="201"/>
      <c r="G4" s="348"/>
      <c r="H4" s="201"/>
      <c r="I4" s="201"/>
      <c r="J4" s="201"/>
      <c r="K4" s="201"/>
      <c r="L4" s="201"/>
      <c r="M4" s="201"/>
    </row>
    <row r="5" spans="1:17" s="200" customFormat="1" ht="20.25" customHeight="1">
      <c r="A5" s="204" t="str">
        <f>'Orçamento '!$A$5</f>
        <v>ÁREA:</v>
      </c>
      <c r="B5" s="204" t="str">
        <f>'Orçamento '!$B$5</f>
        <v>700 m x 7,00 m = 4.900,00 m²</v>
      </c>
      <c r="C5" s="205"/>
      <c r="E5" s="203"/>
      <c r="F5" s="201"/>
      <c r="G5" s="348"/>
      <c r="H5" s="201"/>
      <c r="I5" s="201"/>
      <c r="J5" s="201"/>
      <c r="K5" s="201"/>
      <c r="L5" s="201"/>
      <c r="M5" s="201"/>
    </row>
    <row r="6" spans="1:17" s="200" customFormat="1" ht="20.25" customHeight="1">
      <c r="A6" s="204" t="str">
        <f>'Orçamento '!$A$6</f>
        <v>TOTAL :</v>
      </c>
      <c r="B6" s="204" t="str">
        <f>'Orçamento '!$B$6</f>
        <v>4.900,00 m²</v>
      </c>
      <c r="C6" s="205"/>
      <c r="E6" s="203"/>
      <c r="F6" s="201"/>
      <c r="G6" s="348"/>
      <c r="H6" s="201"/>
      <c r="I6" s="201"/>
      <c r="J6" s="201"/>
      <c r="K6" s="201"/>
      <c r="L6" s="201"/>
      <c r="M6" s="201"/>
    </row>
    <row r="7" spans="1:17" s="200" customFormat="1" ht="20.25" customHeight="1">
      <c r="A7" s="204"/>
      <c r="B7" s="204"/>
      <c r="C7" s="205"/>
      <c r="E7" s="203"/>
      <c r="F7" s="201"/>
      <c r="G7" s="348"/>
      <c r="H7" s="201"/>
      <c r="I7" s="201"/>
      <c r="J7" s="201"/>
      <c r="K7" s="201"/>
      <c r="L7" s="201"/>
      <c r="M7" s="201"/>
    </row>
    <row r="8" spans="1:17" s="200" customFormat="1" ht="20.25" customHeight="1">
      <c r="A8" s="204"/>
      <c r="B8" s="204"/>
      <c r="C8" s="205"/>
      <c r="E8" s="203"/>
      <c r="F8" s="201"/>
      <c r="G8" s="348"/>
      <c r="H8" s="201"/>
      <c r="I8" s="201"/>
      <c r="J8" s="201"/>
      <c r="K8" s="201"/>
      <c r="L8" s="201"/>
      <c r="M8" s="201"/>
    </row>
    <row r="9" spans="1:17" s="200" customFormat="1" ht="20.25" customHeight="1">
      <c r="A9" s="204"/>
      <c r="C9" s="205"/>
      <c r="D9" s="205"/>
      <c r="F9" s="201"/>
      <c r="G9" s="348"/>
      <c r="H9" s="201"/>
      <c r="I9" s="201"/>
      <c r="J9" s="201"/>
      <c r="K9" s="201"/>
      <c r="L9" s="201"/>
      <c r="M9" s="201"/>
      <c r="N9" s="15"/>
      <c r="O9" s="15"/>
      <c r="P9" s="15"/>
      <c r="Q9" s="15"/>
    </row>
    <row r="10" spans="1:17" s="200" customFormat="1" ht="9" customHeight="1">
      <c r="A10" s="204"/>
      <c r="C10" s="205"/>
      <c r="D10" s="205"/>
      <c r="E10" s="205"/>
      <c r="F10" s="201"/>
      <c r="G10" s="348"/>
      <c r="H10" s="201"/>
      <c r="I10" s="201"/>
      <c r="J10" s="201"/>
      <c r="K10" s="201"/>
      <c r="L10" s="201"/>
      <c r="M10" s="201"/>
    </row>
    <row r="11" spans="1:17" s="200" customFormat="1" ht="18">
      <c r="A11" s="419" t="s">
        <v>401</v>
      </c>
      <c r="B11" s="419"/>
      <c r="C11" s="419"/>
      <c r="D11" s="419"/>
      <c r="E11" s="419"/>
      <c r="F11" s="201"/>
      <c r="G11" s="348"/>
      <c r="H11" s="201"/>
      <c r="I11" s="201"/>
      <c r="J11" s="201"/>
      <c r="K11" s="201"/>
      <c r="L11" s="201"/>
      <c r="M11" s="201"/>
      <c r="N11" s="19"/>
      <c r="O11" s="19"/>
      <c r="P11" s="19"/>
      <c r="Q11" s="19"/>
    </row>
    <row r="12" spans="1:17" s="200" customFormat="1" ht="6" customHeight="1">
      <c r="A12" s="206"/>
      <c r="B12" s="206"/>
      <c r="C12" s="206"/>
      <c r="D12" s="206"/>
      <c r="E12" s="206"/>
      <c r="F12" s="201"/>
      <c r="G12" s="348"/>
      <c r="H12" s="201"/>
      <c r="I12" s="201"/>
      <c r="J12" s="201"/>
      <c r="K12" s="201"/>
      <c r="L12" s="201"/>
      <c r="M12" s="201"/>
    </row>
    <row r="13" spans="1:17" ht="24.75" customHeight="1">
      <c r="A13" s="420" t="s">
        <v>1</v>
      </c>
      <c r="B13" s="422" t="s">
        <v>0</v>
      </c>
      <c r="C13" s="424" t="s">
        <v>10</v>
      </c>
      <c r="D13" s="426" t="s">
        <v>2</v>
      </c>
      <c r="E13" s="417" t="s">
        <v>401</v>
      </c>
    </row>
    <row r="14" spans="1:17" ht="24.75" customHeight="1">
      <c r="A14" s="421"/>
      <c r="B14" s="423"/>
      <c r="C14" s="425"/>
      <c r="D14" s="427"/>
      <c r="E14" s="418"/>
    </row>
    <row r="15" spans="1:17" ht="6" customHeight="1">
      <c r="A15" s="208"/>
      <c r="B15" s="209"/>
      <c r="C15" s="210"/>
      <c r="D15" s="211"/>
      <c r="E15" s="212"/>
    </row>
    <row r="16" spans="1:17" s="219" customFormat="1" ht="23.25" customHeight="1">
      <c r="A16" s="213">
        <v>1</v>
      </c>
      <c r="B16" s="214" t="s">
        <v>11</v>
      </c>
      <c r="C16" s="215"/>
      <c r="D16" s="216"/>
      <c r="E16" s="217"/>
      <c r="F16" s="218"/>
      <c r="G16" s="349"/>
      <c r="H16" s="218"/>
      <c r="I16" s="218"/>
      <c r="J16" s="218"/>
      <c r="K16" s="218"/>
      <c r="L16" s="218"/>
      <c r="M16" s="218"/>
    </row>
    <row r="17" spans="1:13" ht="27" customHeight="1">
      <c r="A17" s="220" t="s">
        <v>3</v>
      </c>
      <c r="B17" s="221" t="str">
        <f>'Orçamento '!C17</f>
        <v>PLACA DE OBRA EM CHAPA DE AÇO GALVANIZADO (1,50 M X 3,00 M)</v>
      </c>
      <c r="C17" s="222" t="str">
        <f>'Orçamento '!D17</f>
        <v>UN</v>
      </c>
      <c r="D17" s="223">
        <f>'Orçamento '!E17</f>
        <v>1</v>
      </c>
      <c r="E17" s="352" t="s">
        <v>402</v>
      </c>
      <c r="G17" s="348">
        <f>1</f>
        <v>1</v>
      </c>
    </row>
    <row r="18" spans="1:13" ht="27" customHeight="1">
      <c r="A18" s="220" t="s">
        <v>52</v>
      </c>
      <c r="B18" s="221" t="str">
        <f>'Orçamento '!C18</f>
        <v>SERVIÇOS TOPOGRÁFICOS PARA PAVIMENTAÇÃO</v>
      </c>
      <c r="C18" s="222" t="str">
        <f>'Orçamento '!D18</f>
        <v>M2</v>
      </c>
      <c r="D18" s="223">
        <f>'Orçamento '!E18</f>
        <v>4900</v>
      </c>
      <c r="E18" s="224" t="s">
        <v>518</v>
      </c>
      <c r="G18" s="348">
        <f>700*7</f>
        <v>4900</v>
      </c>
    </row>
    <row r="19" spans="1:13" ht="27" customHeight="1">
      <c r="A19" s="220" t="s">
        <v>189</v>
      </c>
      <c r="B19" s="221" t="str">
        <f>'Orçamento '!C19</f>
        <v>MOBILIZAÇÃO E DESMOBILIZAÇÃO DE EQUIPAMENTOS</v>
      </c>
      <c r="C19" s="222" t="str">
        <f>'Orçamento '!D19</f>
        <v>UN</v>
      </c>
      <c r="D19" s="223">
        <f>'Orçamento '!E19</f>
        <v>2</v>
      </c>
      <c r="E19" s="352" t="s">
        <v>403</v>
      </c>
      <c r="G19" s="348">
        <f>2</f>
        <v>2</v>
      </c>
    </row>
    <row r="20" spans="1:13" ht="27" customHeight="1">
      <c r="A20" s="220" t="s">
        <v>190</v>
      </c>
      <c r="B20" s="221" t="str">
        <f>'Orçamento '!C20</f>
        <v>ADMINISTRAÇÃO LOCAL DE OBRA</v>
      </c>
      <c r="C20" s="222" t="str">
        <f>'Orçamento '!D20</f>
        <v>MÊS</v>
      </c>
      <c r="D20" s="223">
        <f>'Orçamento '!E20</f>
        <v>6</v>
      </c>
      <c r="E20" s="352" t="s">
        <v>519</v>
      </c>
      <c r="G20" s="348">
        <f>6</f>
        <v>6</v>
      </c>
    </row>
    <row r="21" spans="1:13" s="219" customFormat="1" ht="23.25" customHeight="1">
      <c r="A21" s="225">
        <v>2</v>
      </c>
      <c r="B21" s="226" t="s">
        <v>22</v>
      </c>
      <c r="C21" s="227"/>
      <c r="D21" s="228"/>
      <c r="E21" s="229"/>
      <c r="F21" s="201"/>
      <c r="G21" s="348"/>
      <c r="H21" s="201"/>
      <c r="I21" s="201"/>
      <c r="J21" s="201"/>
      <c r="K21" s="201"/>
      <c r="L21" s="201"/>
      <c r="M21" s="201"/>
    </row>
    <row r="22" spans="1:13" ht="21.75" customHeight="1">
      <c r="A22" s="220" t="s">
        <v>4</v>
      </c>
      <c r="B22" s="221" t="str">
        <f>'Orçamento '!C23</f>
        <v>LIMPEZA MECANIZADA DE CAMADA VEGETAL</v>
      </c>
      <c r="C22" s="222" t="str">
        <f>'Orçamento '!D23</f>
        <v>M2</v>
      </c>
      <c r="D22" s="223">
        <f>'Orçamento '!E23</f>
        <v>2800</v>
      </c>
      <c r="E22" s="224" t="s">
        <v>520</v>
      </c>
      <c r="G22" s="348">
        <f>700*4</f>
        <v>2800</v>
      </c>
    </row>
    <row r="23" spans="1:13" ht="36">
      <c r="A23" s="220" t="s">
        <v>5</v>
      </c>
      <c r="B23" s="221" t="str">
        <f>'Orçamento '!C24</f>
        <v>CORTE RASO E RECORTE DE ÁRVORE COM DIÂMETRO DE TRONCO MAIOR OU IGUAL A 0,20 M E MENOR QUE 0,40 M</v>
      </c>
      <c r="C23" s="222" t="str">
        <f>'Orçamento '!D24</f>
        <v>UN</v>
      </c>
      <c r="D23" s="223">
        <f>'Orçamento '!E24</f>
        <v>30</v>
      </c>
      <c r="E23" s="352" t="s">
        <v>521</v>
      </c>
      <c r="G23" s="348">
        <f>30</f>
        <v>30</v>
      </c>
    </row>
    <row r="24" spans="1:13" ht="36">
      <c r="A24" s="220" t="s">
        <v>6</v>
      </c>
      <c r="B24" s="221" t="str">
        <f>'Orçamento '!C25</f>
        <v>ESCAVAÇÃO  EM SOLO DE 1ª CATEGORIA, INCLUINDO CARGA, DESCARGA E TRANSPORTE (DMT ATÉ 3 KM)</v>
      </c>
      <c r="C24" s="222" t="str">
        <f>'Orçamento '!D25</f>
        <v>M3</v>
      </c>
      <c r="D24" s="223">
        <f>'Orçamento '!E25</f>
        <v>3722.38</v>
      </c>
      <c r="E24" s="224" t="s">
        <v>522</v>
      </c>
      <c r="F24" s="207"/>
      <c r="G24" s="350"/>
      <c r="H24" s="207"/>
      <c r="I24" s="207"/>
      <c r="J24" s="207"/>
      <c r="K24" s="207"/>
      <c r="L24" s="207"/>
      <c r="M24" s="207"/>
    </row>
    <row r="25" spans="1:13" ht="36">
      <c r="A25" s="220" t="s">
        <v>7</v>
      </c>
      <c r="B25" s="221" t="str">
        <f>'Orçamento '!C26</f>
        <v>ESCAVAÇÃO EM SOLO DE BAIXA CAPACIDADE DE SUPORTE, INCLUINDO CARGA, DESCARGA E TRANSPORTE (DMT ATÉ 3 KM)</v>
      </c>
      <c r="C25" s="222" t="str">
        <f>'Orçamento '!D26</f>
        <v>M3</v>
      </c>
      <c r="D25" s="223">
        <f>'Orçamento '!E26</f>
        <v>1120</v>
      </c>
      <c r="E25" s="224" t="s">
        <v>523</v>
      </c>
      <c r="F25" s="230"/>
      <c r="G25" s="348">
        <f>700*4*0.4</f>
        <v>1120</v>
      </c>
      <c r="H25" s="230"/>
      <c r="I25" s="230"/>
      <c r="J25" s="230"/>
      <c r="K25" s="230"/>
      <c r="L25" s="230"/>
      <c r="M25" s="230"/>
    </row>
    <row r="26" spans="1:13" ht="46.5" customHeight="1">
      <c r="A26" s="220" t="s">
        <v>8</v>
      </c>
      <c r="B26" s="221" t="str">
        <f>'Orçamento '!C27</f>
        <v>TRANSPORTE COM CAMINHÃO BASCULANTE DE 10 M³ - RODOVIA EM REVESTIMENTO PRIMÁRIO (DMT = 7,00 KM)</v>
      </c>
      <c r="C26" s="222" t="str">
        <f>'Orçamento '!D27</f>
        <v>M3 x KM</v>
      </c>
      <c r="D26" s="223">
        <f>'Orçamento '!E27</f>
        <v>12105.95</v>
      </c>
      <c r="E26" s="224" t="s">
        <v>524</v>
      </c>
      <c r="G26" s="348">
        <f>(3722.28+1120)*1.25*2</f>
        <v>12105.7</v>
      </c>
    </row>
    <row r="27" spans="1:13" ht="40.5" customHeight="1">
      <c r="A27" s="220" t="s">
        <v>9</v>
      </c>
      <c r="B27" s="221" t="str">
        <f>'Orçamento '!C28</f>
        <v>DESMONTE DE MATERIAL DE 3ª CATEGORIA (BLOCOS DE ROCHAS OU MATACOS), EM VALA, EXCLUSIVE RETIRADA, CARGA E TRANSPORTE</v>
      </c>
      <c r="C27" s="222" t="str">
        <f>'Orçamento '!D28</f>
        <v>M3</v>
      </c>
      <c r="D27" s="223">
        <f>'Orçamento '!E28</f>
        <v>0</v>
      </c>
      <c r="E27" s="224"/>
    </row>
    <row r="28" spans="1:13" ht="36">
      <c r="A28" s="220" t="s">
        <v>386</v>
      </c>
      <c r="B28" s="221" t="str">
        <f>'Orçamento '!C29</f>
        <v>RETIRADA DE MATERIAL DE 3ª CATEGORIA (APÓS ESCAVAÇÃO/DESMONTE) EM VALAS, COM ESCAVADEIRA HIDRÁULICA - EXCLUSIVE CARGA E TRANSPORTE</v>
      </c>
      <c r="C28" s="222" t="str">
        <f>'Orçamento '!D29</f>
        <v>M3</v>
      </c>
      <c r="D28" s="223">
        <f>'Orçamento '!E29</f>
        <v>0</v>
      </c>
      <c r="E28" s="224"/>
    </row>
    <row r="29" spans="1:13" ht="18">
      <c r="A29" s="220" t="s">
        <v>387</v>
      </c>
      <c r="B29" s="221" t="str">
        <f>'Orçamento '!C30</f>
        <v>CARGA, MANOBRA E DESCARGA DE MATERIAL DE 3ª CATEGORIA</v>
      </c>
      <c r="C29" s="222" t="str">
        <f>'Orçamento '!D30</f>
        <v>M3</v>
      </c>
      <c r="D29" s="223">
        <f>'Orçamento '!E30</f>
        <v>0</v>
      </c>
      <c r="E29" s="224"/>
    </row>
    <row r="30" spans="1:13" ht="36">
      <c r="A30" s="220" t="s">
        <v>388</v>
      </c>
      <c r="B30" s="221" t="str">
        <f>'Orçamento '!C31</f>
        <v>TRANSPORTE COM CAMINHÃO BASCULANTE DE 10 M³ - RODOVIA EM REVESTIMENTO PRIMÁRIO (DMT = 7,00 KM)</v>
      </c>
      <c r="C30" s="222" t="str">
        <f>'Orçamento '!D31</f>
        <v>M3 x KM</v>
      </c>
      <c r="D30" s="223">
        <f>'Orçamento '!E31</f>
        <v>0</v>
      </c>
      <c r="E30" s="224"/>
    </row>
    <row r="31" spans="1:13" ht="45.75" customHeight="1">
      <c r="A31" s="220" t="s">
        <v>389</v>
      </c>
      <c r="B31" s="221" t="str">
        <f>'Orçamento '!C32</f>
        <v>ESPALHAMENTO DE MATERIAL COM TRATOR DE ESTEIRAS</v>
      </c>
      <c r="C31" s="222" t="str">
        <f>'Orçamento '!D32</f>
        <v>M3</v>
      </c>
      <c r="D31" s="223">
        <f>'Orçamento '!E32</f>
        <v>6052.98</v>
      </c>
      <c r="E31" s="224" t="s">
        <v>525</v>
      </c>
      <c r="G31" s="348">
        <f>(3722.38+1120)*1.25</f>
        <v>6052.9750000000004</v>
      </c>
    </row>
    <row r="32" spans="1:13" ht="36">
      <c r="A32" s="220" t="s">
        <v>390</v>
      </c>
      <c r="B32" s="221" t="str">
        <f>'Orçamento '!C33</f>
        <v>COMPACTAÇÃO DE ATERRO DO MATERIAL PROVENIENTE DA JAZIDA</v>
      </c>
      <c r="C32" s="222" t="str">
        <f>'Orçamento '!D33</f>
        <v>M3</v>
      </c>
      <c r="D32" s="223">
        <f>'Orçamento '!E33</f>
        <v>1482.2</v>
      </c>
      <c r="E32" s="224" t="s">
        <v>553</v>
      </c>
      <c r="G32" s="348">
        <v>1482.2</v>
      </c>
    </row>
    <row r="33" spans="1:15" ht="41.25" customHeight="1">
      <c r="A33" s="220" t="s">
        <v>417</v>
      </c>
      <c r="B33" s="221" t="str">
        <f>'Orçamento '!C34</f>
        <v>CARGA, MANOBRA E DESCARGA DE MATERIAL DE JAZIDA</v>
      </c>
      <c r="C33" s="222" t="str">
        <f>'Orçamento '!D34</f>
        <v>M3</v>
      </c>
      <c r="D33" s="223">
        <f>'Orçamento '!E34</f>
        <v>2075.08</v>
      </c>
      <c r="E33" s="224" t="s">
        <v>554</v>
      </c>
      <c r="G33" s="348">
        <f>1482.2*1.4</f>
        <v>2075.08</v>
      </c>
    </row>
    <row r="34" spans="1:15" ht="36">
      <c r="A34" s="220" t="s">
        <v>482</v>
      </c>
      <c r="B34" s="221" t="str">
        <f>'Orçamento '!C35</f>
        <v>TRANSPORTE COM CAMINHÃO BASCULANTE DE 10 M³ - RODOVIA EM REVESTIMENTO PRIMÁRIO (DMT = 20,70 KM)</v>
      </c>
      <c r="C34" s="222" t="str">
        <f>'Orçamento '!D35</f>
        <v>M3 x KM</v>
      </c>
      <c r="D34" s="223">
        <f>'Orçamento '!E35</f>
        <v>41916.620000000003</v>
      </c>
      <c r="E34" s="224" t="s">
        <v>555</v>
      </c>
      <c r="G34" s="348">
        <f>G33*20.2</f>
        <v>41916.615999999995</v>
      </c>
    </row>
    <row r="35" spans="1:15" ht="41.25" customHeight="1">
      <c r="A35" s="220" t="s">
        <v>483</v>
      </c>
      <c r="B35" s="221" t="str">
        <f>'Orçamento '!C36</f>
        <v>REGULARIZAÇÃO E COMPACTAÇÃO DE SUBLEITO</v>
      </c>
      <c r="C35" s="222" t="str">
        <f>'Orçamento '!D36</f>
        <v>M2</v>
      </c>
      <c r="D35" s="223">
        <f>'Orçamento '!E36</f>
        <v>7000</v>
      </c>
      <c r="E35" s="224" t="s">
        <v>526</v>
      </c>
      <c r="G35" s="348">
        <f>700*10</f>
        <v>7000</v>
      </c>
    </row>
    <row r="36" spans="1:15" ht="36">
      <c r="A36" s="220" t="s">
        <v>484</v>
      </c>
      <c r="B36" s="221" t="str">
        <f>'Orçamento '!C37</f>
        <v>RETIRADA E RECONSTRUÇÃO DE CERCA COM MOURÕES DE MADEIRA, 7,5 X 7,5 CM, ESPAÇAMENTO DE 2 M, ALTURA LIVRE DE 2M, CRAVADOS 0,5 M, COM 4 FIOS DE ARAME FARPADO Nº 14 CLASSE 250</v>
      </c>
      <c r="C36" s="222" t="str">
        <f>'Orçamento '!D37</f>
        <v>M</v>
      </c>
      <c r="D36" s="223">
        <f>'Orçamento '!E37</f>
        <v>0</v>
      </c>
      <c r="E36" s="224"/>
    </row>
    <row r="37" spans="1:15" s="219" customFormat="1" ht="23.25" customHeight="1">
      <c r="A37" s="225">
        <v>3</v>
      </c>
      <c r="B37" s="226" t="s">
        <v>36</v>
      </c>
      <c r="C37" s="227"/>
      <c r="D37" s="228"/>
      <c r="E37" s="229"/>
      <c r="F37" s="201"/>
      <c r="G37" s="348"/>
      <c r="H37" s="201"/>
      <c r="I37" s="201"/>
      <c r="J37" s="201"/>
      <c r="K37" s="201"/>
      <c r="L37" s="201"/>
      <c r="M37" s="201"/>
    </row>
    <row r="38" spans="1:15" ht="54">
      <c r="A38" s="220" t="str">
        <f>'Orçamento '!A40</f>
        <v>3.1</v>
      </c>
      <c r="B38" s="221" t="str">
        <f>'Orçamento '!C40</f>
        <v>ESCAVAÇÃO MECANIZADA DE VALA EM SOLO DE 1ª CATEGORIA</v>
      </c>
      <c r="C38" s="222" t="str">
        <f>'Orçamento '!D40</f>
        <v>M3</v>
      </c>
      <c r="D38" s="231">
        <f>'Orçamento '!E40</f>
        <v>303.3</v>
      </c>
      <c r="E38" s="224" t="s">
        <v>556</v>
      </c>
      <c r="G38" s="348">
        <f>((231*1.51)+(14*2.16))*0.8</f>
        <v>303.24</v>
      </c>
    </row>
    <row r="39" spans="1:15" ht="33" customHeight="1">
      <c r="A39" s="220" t="str">
        <f>'Orçamento '!A41</f>
        <v>3.2</v>
      </c>
      <c r="B39" s="221" t="str">
        <f>'Orçamento '!C41</f>
        <v>DESMONTE DE MATERIAL DE 3ª CATEGORIA (BLOCOS DE ROCHAS OU MATACOS), EM VALA, EXCLUSIVE RETIRADA, CARGA E TRANSPORTE</v>
      </c>
      <c r="C39" s="222" t="str">
        <f>'Orçamento '!D41</f>
        <v>M3</v>
      </c>
      <c r="D39" s="231">
        <f>'Orçamento '!E41</f>
        <v>75.819999999999993</v>
      </c>
      <c r="E39" s="224" t="s">
        <v>557</v>
      </c>
      <c r="G39" s="348">
        <f>((231*1.51)+(14*2.16))*0.2</f>
        <v>75.81</v>
      </c>
    </row>
    <row r="40" spans="1:15" ht="36.75" customHeight="1">
      <c r="A40" s="220" t="str">
        <f>'Orçamento '!A42</f>
        <v>3.3</v>
      </c>
      <c r="B40" s="221" t="str">
        <f>'Orçamento '!C42</f>
        <v>RETIRADA DE MATERIAL DE 3ª CATEGORIA (APÓS ESCAVAÇÃO/DESMONTE) EM VALAS, COM ESCAVADEIRA HIDRÁULICA - EXCLUSIVE CARGA E TRANSPORTE</v>
      </c>
      <c r="C40" s="222" t="str">
        <f>'Orçamento '!D42</f>
        <v>M3</v>
      </c>
      <c r="D40" s="231">
        <f>'Orçamento '!E42</f>
        <v>75.819999999999993</v>
      </c>
      <c r="E40" s="224" t="s">
        <v>557</v>
      </c>
      <c r="G40" s="348">
        <f>((231*1.51)+(14*2.16))*0.2</f>
        <v>75.81</v>
      </c>
    </row>
    <row r="41" spans="1:15" ht="54">
      <c r="A41" s="220" t="str">
        <f>'Orçamento '!A43</f>
        <v>3.4</v>
      </c>
      <c r="B41" s="221" t="str">
        <f>'Orçamento '!C43</f>
        <v>CARGA, MANOBRA E DESCARGA DE MATERIAL DE 3ª CATEGORIA</v>
      </c>
      <c r="C41" s="222" t="str">
        <f>'Orçamento '!D43</f>
        <v>M3</v>
      </c>
      <c r="D41" s="231">
        <f>'Orçamento '!E43</f>
        <v>106.15</v>
      </c>
      <c r="E41" s="224" t="s">
        <v>558</v>
      </c>
      <c r="G41" s="348">
        <f>((231*1.51)+(14*2.16))*0.2*1.4</f>
        <v>106.134</v>
      </c>
    </row>
    <row r="42" spans="1:15" ht="54">
      <c r="A42" s="220" t="str">
        <f>'Orçamento '!A44</f>
        <v>3.5</v>
      </c>
      <c r="B42" s="221" t="str">
        <f>'Orçamento '!C44</f>
        <v>TRANSPORTE COM CAMINHÃO BASCULANTE DE 10 M³ - RODOVIA EM REVESTIMENTO PRIMÁRIO (DMT = 7,00 KM)</v>
      </c>
      <c r="C42" s="222" t="str">
        <f>'Orçamento '!D44</f>
        <v>M3 x KM</v>
      </c>
      <c r="D42" s="231">
        <f>'Orçamento '!E44</f>
        <v>212.3</v>
      </c>
      <c r="E42" s="224" t="s">
        <v>559</v>
      </c>
      <c r="G42" s="348">
        <f>((231*1.51)+(14*2.16))*0.2*1.4*2</f>
        <v>212.268</v>
      </c>
    </row>
    <row r="43" spans="1:15" ht="36">
      <c r="A43" s="220" t="str">
        <f>'Orçamento '!A45</f>
        <v>3.6</v>
      </c>
      <c r="B43" s="221" t="str">
        <f>'Orçamento '!C45</f>
        <v>PREPARO DO FUNDO DE VALA</v>
      </c>
      <c r="C43" s="222" t="str">
        <f>'Orçamento '!D45</f>
        <v>M2</v>
      </c>
      <c r="D43" s="231">
        <f>'Orçamento '!E45</f>
        <v>316.95999999999998</v>
      </c>
      <c r="E43" s="224" t="s">
        <v>540</v>
      </c>
      <c r="G43" s="348">
        <f>(231*1.28)+(14*1.52)</f>
        <v>316.96000000000004</v>
      </c>
    </row>
    <row r="44" spans="1:15" ht="54">
      <c r="A44" s="220" t="str">
        <f>'Orçamento '!A46</f>
        <v>3.7</v>
      </c>
      <c r="B44" s="221" t="str">
        <f>'Orçamento '!C46</f>
        <v>LASTRO PARA FUNDO DE VALA COM MATERIAL GRANULAR (E = 10 CM)</v>
      </c>
      <c r="C44" s="222" t="str">
        <f>'Orçamento '!D46</f>
        <v>M3</v>
      </c>
      <c r="D44" s="231">
        <f>'Orçamento '!E46</f>
        <v>31.7</v>
      </c>
      <c r="E44" s="224" t="s">
        <v>541</v>
      </c>
      <c r="G44" s="348">
        <f>((231*1.28)+(14*1.52))*0.1</f>
        <v>31.696000000000005</v>
      </c>
    </row>
    <row r="45" spans="1:15" ht="23.25" customHeight="1">
      <c r="A45" s="220" t="str">
        <f>'Orçamento '!A47</f>
        <v>3.8</v>
      </c>
      <c r="B45" s="221" t="str">
        <f>'Orçamento '!C47</f>
        <v>TRANSPORTE COM CAMINHÃO BASCULANTE DE 10 M³ - RODOVIA PAVIMENTADA DMT 20,70 KM</v>
      </c>
      <c r="C45" s="222" t="str">
        <f>'Orçamento '!D47</f>
        <v>M3 x KM</v>
      </c>
      <c r="D45" s="231">
        <f>'Orçamento '!E47</f>
        <v>640.34</v>
      </c>
      <c r="E45" s="224" t="s">
        <v>547</v>
      </c>
      <c r="G45" s="348">
        <f>31.7*20.2</f>
        <v>640.33999999999992</v>
      </c>
      <c r="I45" s="201" t="s">
        <v>376</v>
      </c>
      <c r="J45" s="348" t="s">
        <v>377</v>
      </c>
      <c r="K45" s="201" t="s">
        <v>378</v>
      </c>
      <c r="L45" s="201" t="s">
        <v>379</v>
      </c>
      <c r="M45" s="201" t="s">
        <v>380</v>
      </c>
      <c r="N45" s="201" t="s">
        <v>381</v>
      </c>
      <c r="O45" s="201" t="s">
        <v>382</v>
      </c>
    </row>
    <row r="46" spans="1:15" ht="34.5" customHeight="1">
      <c r="A46" s="220" t="str">
        <f>'Orçamento '!A48</f>
        <v>3.9</v>
      </c>
      <c r="B46" s="221" t="str">
        <f>'Orçamento '!C48</f>
        <v>TUBO DE CONCRETO (SIMPLES) PARA REDES COLETORAS DE ÁGUAS PLUVIAIS, DIÂMETRO DE 300 MM, JUNTA RÍGIDA - FORNECIMENTO E ASSENTAMENTO</v>
      </c>
      <c r="C46" s="222" t="str">
        <f>'Orçamento '!D48</f>
        <v>M</v>
      </c>
      <c r="D46" s="231">
        <f>'Orçamento '!E48</f>
        <v>0</v>
      </c>
      <c r="E46" s="224"/>
      <c r="J46" s="348"/>
      <c r="N46" s="201"/>
      <c r="O46" s="201"/>
    </row>
    <row r="47" spans="1:15" ht="34.5" customHeight="1">
      <c r="A47" s="220" t="str">
        <f>'Orçamento '!A49</f>
        <v>3.10</v>
      </c>
      <c r="B47" s="221" t="str">
        <f>'Orçamento '!C49</f>
        <v>TUBO DE CONCRETO (SIMPLES) PARA REDES COLETORAS DE ÁGUAS PLUVIAIS, DIÂMETRO DE 400 MM, JUNTA RÍGIDA - FORNECIMENTO E ASSENTAMENTO</v>
      </c>
      <c r="C47" s="222" t="str">
        <f>'Orçamento '!D49</f>
        <v>M</v>
      </c>
      <c r="D47" s="231">
        <f>'Orçamento '!E49</f>
        <v>0</v>
      </c>
      <c r="E47" s="224"/>
      <c r="I47" s="201">
        <f>0.4*1.2</f>
        <v>0.48</v>
      </c>
      <c r="J47" s="348">
        <f t="shared" ref="J47:J53" si="0">I47+0.6+0.1</f>
        <v>1.1800000000000002</v>
      </c>
      <c r="K47" s="201">
        <f>I47+0.4*2</f>
        <v>1.28</v>
      </c>
      <c r="L47" s="201">
        <f>K47*J47</f>
        <v>1.5104000000000002</v>
      </c>
      <c r="M47" s="201">
        <f>L47-O47-N47</f>
        <v>1.2304000000000002</v>
      </c>
      <c r="N47" s="201">
        <v>0.1</v>
      </c>
      <c r="O47" s="201">
        <f>ROUND(PI()*(I47/2)^2,2)</f>
        <v>0.18</v>
      </c>
    </row>
    <row r="48" spans="1:15" ht="34.5" customHeight="1">
      <c r="A48" s="220" t="str">
        <f>'Orçamento '!A50</f>
        <v>3.11</v>
      </c>
      <c r="B48" s="221" t="str">
        <f>'Orçamento '!C50</f>
        <v>TUBO DE CONCRETO PARA REDES COLETORAS DE ÁGUAS PLUVIAIS, DIÂMETRO DE 400 MM, JUNTA RÍGIDA - FORNECIMENTO E ASSENTAMENTO</v>
      </c>
      <c r="C48" s="222" t="str">
        <f>'Orçamento '!D50</f>
        <v>M</v>
      </c>
      <c r="D48" s="231">
        <f>'Orçamento '!E50</f>
        <v>231</v>
      </c>
      <c r="E48" s="224" t="s">
        <v>527</v>
      </c>
      <c r="G48" s="348">
        <f>231</f>
        <v>231</v>
      </c>
      <c r="I48" s="201">
        <f>0.4*1.2</f>
        <v>0.48</v>
      </c>
      <c r="J48" s="348">
        <f t="shared" si="0"/>
        <v>1.1800000000000002</v>
      </c>
      <c r="K48" s="201">
        <f t="shared" ref="K48:K53" si="1">I48+0.4*2</f>
        <v>1.28</v>
      </c>
      <c r="L48" s="201">
        <f t="shared" ref="L48:L53" si="2">K48*J48</f>
        <v>1.5104000000000002</v>
      </c>
      <c r="M48" s="201">
        <f t="shared" ref="M48:M53" si="3">L48-O48-N48</f>
        <v>1.2304000000000002</v>
      </c>
      <c r="N48" s="201">
        <v>0.1</v>
      </c>
      <c r="O48" s="201">
        <f t="shared" ref="O48:O53" si="4">ROUND(PI()*(I48/2)^2,2)</f>
        <v>0.18</v>
      </c>
    </row>
    <row r="49" spans="1:21" ht="34.5" customHeight="1">
      <c r="A49" s="220" t="str">
        <f>'Orçamento '!A51</f>
        <v>3.12</v>
      </c>
      <c r="B49" s="221" t="str">
        <f>'Orçamento '!C51</f>
        <v>TUBO DE CONCRETO PARA REDES COLETORAS DE ÁGUAS PLUVIAIS, DIÂMETRO DE 500 MM, JUNTA RÍGIDA - FORNECIMENTO E ASSENTAMENTO</v>
      </c>
      <c r="C49" s="222" t="str">
        <f>'Orçamento '!D51</f>
        <v>M</v>
      </c>
      <c r="D49" s="231">
        <f>'Orçamento '!E51</f>
        <v>0</v>
      </c>
      <c r="E49" s="224"/>
      <c r="I49" s="201">
        <f>0.5*1.2</f>
        <v>0.6</v>
      </c>
      <c r="J49" s="348">
        <f t="shared" si="0"/>
        <v>1.3</v>
      </c>
      <c r="K49" s="201">
        <f t="shared" si="1"/>
        <v>1.4</v>
      </c>
      <c r="L49" s="201">
        <f t="shared" si="2"/>
        <v>1.8199999999999998</v>
      </c>
      <c r="M49" s="201">
        <f t="shared" si="3"/>
        <v>1.4399999999999997</v>
      </c>
      <c r="N49" s="201">
        <v>0.1</v>
      </c>
      <c r="O49" s="201">
        <f t="shared" si="4"/>
        <v>0.28000000000000003</v>
      </c>
    </row>
    <row r="50" spans="1:21" ht="34.5" customHeight="1">
      <c r="A50" s="220" t="str">
        <f>'Orçamento '!A52</f>
        <v>3.13</v>
      </c>
      <c r="B50" s="221" t="str">
        <f>'Orçamento '!C52</f>
        <v>TUBO DE CONCRETO (SIMPLES) PARA REDES COLETORAS DE ÁGUAS PLUVIAIS, DIÂMETRO DE 600 MM, JUNTA RÍGIDA - FORNECIMENTO E ASSENTAMENTO</v>
      </c>
      <c r="C50" s="222" t="str">
        <f>'Orçamento '!D52</f>
        <v>M</v>
      </c>
      <c r="D50" s="231">
        <f>'Orçamento '!E52</f>
        <v>0</v>
      </c>
      <c r="E50" s="224"/>
      <c r="I50" s="201">
        <f>0.6*1.2</f>
        <v>0.72</v>
      </c>
      <c r="J50" s="348">
        <f t="shared" si="0"/>
        <v>1.42</v>
      </c>
      <c r="K50" s="201">
        <f t="shared" si="1"/>
        <v>1.52</v>
      </c>
      <c r="L50" s="201">
        <f t="shared" si="2"/>
        <v>2.1583999999999999</v>
      </c>
      <c r="M50" s="201">
        <f t="shared" si="3"/>
        <v>1.6483999999999999</v>
      </c>
      <c r="N50" s="201">
        <v>0.1</v>
      </c>
      <c r="O50" s="201">
        <f t="shared" si="4"/>
        <v>0.41</v>
      </c>
    </row>
    <row r="51" spans="1:21" ht="34.5" customHeight="1">
      <c r="A51" s="220" t="str">
        <f>'Orçamento '!A53</f>
        <v>3.14</v>
      </c>
      <c r="B51" s="221" t="str">
        <f>'Orçamento '!C53</f>
        <v>TUBO DE CONCRETO PARA REDES COLETORAS DE ÁGUAS PLUVIAIS, DIÂMETRO DE 600 MM, JUNTA RÍGIDA - FORNECIMENTO E ASSENTAMENTO</v>
      </c>
      <c r="C51" s="222" t="str">
        <f>'Orçamento '!D53</f>
        <v>M</v>
      </c>
      <c r="D51" s="231">
        <f>'Orçamento '!E53</f>
        <v>14</v>
      </c>
      <c r="E51" s="224" t="s">
        <v>539</v>
      </c>
      <c r="G51" s="348">
        <f>14</f>
        <v>14</v>
      </c>
      <c r="I51" s="201">
        <f>0.6*1.2</f>
        <v>0.72</v>
      </c>
      <c r="J51" s="348">
        <f t="shared" si="0"/>
        <v>1.42</v>
      </c>
      <c r="K51" s="201">
        <f t="shared" si="1"/>
        <v>1.52</v>
      </c>
      <c r="L51" s="201">
        <f t="shared" si="2"/>
        <v>2.1583999999999999</v>
      </c>
      <c r="M51" s="201">
        <f t="shared" si="3"/>
        <v>1.6483999999999999</v>
      </c>
      <c r="N51" s="201">
        <v>0.1</v>
      </c>
      <c r="O51" s="201">
        <f t="shared" si="4"/>
        <v>0.41</v>
      </c>
    </row>
    <row r="52" spans="1:21" ht="34.5" customHeight="1">
      <c r="A52" s="220" t="str">
        <f>'Orçamento '!A54</f>
        <v>3.15</v>
      </c>
      <c r="B52" s="221" t="str">
        <f>'Orçamento '!C54</f>
        <v>TUBO DE CONCRETO PARA REDES COLETORAS DE ÁGUAS PLUVIAIS, DIÂMETRO DE 800 MM, JUNTA RÍGIDA - FORNECIMENTO E ASSENTAMENTO</v>
      </c>
      <c r="C52" s="222" t="str">
        <f>'Orçamento '!D54</f>
        <v>M</v>
      </c>
      <c r="D52" s="231">
        <f>'Orçamento '!E54</f>
        <v>0</v>
      </c>
      <c r="E52" s="224"/>
      <c r="I52" s="201">
        <f>0.8*1.2</f>
        <v>0.96</v>
      </c>
      <c r="J52" s="348">
        <f t="shared" si="0"/>
        <v>1.6600000000000001</v>
      </c>
      <c r="K52" s="201">
        <f t="shared" si="1"/>
        <v>1.76</v>
      </c>
      <c r="L52" s="201">
        <f t="shared" si="2"/>
        <v>2.9216000000000002</v>
      </c>
      <c r="M52" s="201">
        <f t="shared" si="3"/>
        <v>2.1015999999999999</v>
      </c>
      <c r="N52" s="201">
        <v>0.1</v>
      </c>
      <c r="O52" s="201">
        <f t="shared" si="4"/>
        <v>0.72</v>
      </c>
    </row>
    <row r="53" spans="1:21" ht="39.75" customHeight="1">
      <c r="A53" s="220" t="str">
        <f>'Orçamento '!A55</f>
        <v>3.16</v>
      </c>
      <c r="B53" s="221" t="str">
        <f>'Orçamento '!C55</f>
        <v>TUBO DE CONCRETO PARA REDES COLETORAS DE ÁGUAS PLUVIAIS, DIÂMETRO DE 1000 MM, JUNTA RÍGIDA - FORNECIMENTO E ASSENTAMENTO</v>
      </c>
      <c r="C53" s="222" t="str">
        <f>'Orçamento '!D55</f>
        <v>M</v>
      </c>
      <c r="D53" s="231">
        <f>'Orçamento '!E55</f>
        <v>0</v>
      </c>
      <c r="E53" s="224"/>
      <c r="I53" s="201">
        <f>1*1.2</f>
        <v>1.2</v>
      </c>
      <c r="J53" s="348">
        <f t="shared" si="0"/>
        <v>1.9</v>
      </c>
      <c r="K53" s="201">
        <f t="shared" si="1"/>
        <v>2</v>
      </c>
      <c r="L53" s="201">
        <f t="shared" si="2"/>
        <v>3.8</v>
      </c>
      <c r="M53" s="201">
        <f t="shared" si="3"/>
        <v>2.57</v>
      </c>
      <c r="N53" s="201">
        <v>0.1</v>
      </c>
      <c r="O53" s="201">
        <f t="shared" si="4"/>
        <v>1.1299999999999999</v>
      </c>
    </row>
    <row r="54" spans="1:21" ht="36">
      <c r="A54" s="220" t="str">
        <f>'Orçamento '!A56</f>
        <v>3.17</v>
      </c>
      <c r="B54" s="221" t="str">
        <f>'Orçamento '!C56</f>
        <v>REATERRO MECANIZADO DE VALA</v>
      </c>
      <c r="C54" s="222" t="str">
        <f>'Orçamento '!D56</f>
        <v>M3</v>
      </c>
      <c r="D54" s="231">
        <f>'Orçamento '!E56</f>
        <v>300.10000000000002</v>
      </c>
      <c r="E54" s="224" t="s">
        <v>560</v>
      </c>
      <c r="G54" s="348">
        <f>379.12-31.7-47.32</f>
        <v>300.10000000000002</v>
      </c>
    </row>
    <row r="55" spans="1:21" ht="36">
      <c r="A55" s="220" t="str">
        <f>'Orçamento '!A57</f>
        <v>3.18</v>
      </c>
      <c r="B55" s="221" t="str">
        <f>'Orçamento '!C57</f>
        <v>CARGA, MANOBRA E DESCARGA DE MATERIAL DE 1ª CATEGORIA</v>
      </c>
      <c r="C55" s="222" t="str">
        <f>'Orçamento '!D57</f>
        <v>M3</v>
      </c>
      <c r="D55" s="231">
        <f>'Orçamento '!E57</f>
        <v>98.78</v>
      </c>
      <c r="E55" s="224" t="s">
        <v>542</v>
      </c>
      <c r="G55" s="348">
        <f>(379.12-300.1)*1.25</f>
        <v>98.774999999999977</v>
      </c>
    </row>
    <row r="56" spans="1:21" ht="36">
      <c r="A56" s="220" t="str">
        <f>'Orçamento '!A58</f>
        <v>3.19</v>
      </c>
      <c r="B56" s="221" t="str">
        <f>'Orçamento '!C58</f>
        <v>TRANSPORTE COM CAMINHÃO BASCULANTE DE 10 M³ - RODOVIA EM REVESTIMENTO PRIMÁRIO (DMT = 7,00 KM)</v>
      </c>
      <c r="C56" s="222" t="str">
        <f>'Orçamento '!D58</f>
        <v>M3 x KM</v>
      </c>
      <c r="D56" s="231">
        <f>'Orçamento '!E58</f>
        <v>197.56</v>
      </c>
      <c r="E56" s="224" t="s">
        <v>543</v>
      </c>
      <c r="G56" s="348">
        <f>98.78*2</f>
        <v>197.56</v>
      </c>
    </row>
    <row r="57" spans="1:21" ht="36">
      <c r="A57" s="220" t="str">
        <f>'Orçamento '!A59</f>
        <v>3.20</v>
      </c>
      <c r="B57" s="221" t="str">
        <f>'Orçamento '!C59</f>
        <v>ESPALHAMENTO DE MATERIAL COM TRATOR DE ESTEIRAS</v>
      </c>
      <c r="C57" s="222" t="str">
        <f>'Orçamento '!D59</f>
        <v>M3</v>
      </c>
      <c r="D57" s="231">
        <f>'Orçamento '!E59</f>
        <v>98.78</v>
      </c>
      <c r="E57" s="224" t="s">
        <v>542</v>
      </c>
      <c r="G57" s="348">
        <f>(379.12-300.1)*1.25</f>
        <v>98.774999999999977</v>
      </c>
    </row>
    <row r="58" spans="1:21" ht="30" customHeight="1">
      <c r="A58" s="220" t="str">
        <f>'Orçamento '!A60</f>
        <v>3.21</v>
      </c>
      <c r="B58" s="221" t="str">
        <f>'Orçamento '!C60</f>
        <v>TESTADA PARA BUEIRO SIMPLES TUBULAR D = 40 CM EM CONCRETO</v>
      </c>
      <c r="C58" s="222" t="str">
        <f>'Orçamento '!D60</f>
        <v>UN</v>
      </c>
      <c r="D58" s="231">
        <f>'Orçamento '!E60</f>
        <v>32</v>
      </c>
      <c r="E58" s="224" t="s">
        <v>544</v>
      </c>
      <c r="G58" s="348">
        <f>32</f>
        <v>32</v>
      </c>
    </row>
    <row r="59" spans="1:21" ht="30" customHeight="1">
      <c r="A59" s="220" t="str">
        <f>'Orçamento '!A61</f>
        <v>3.22</v>
      </c>
      <c r="B59" s="221" t="str">
        <f>'Orçamento '!C61</f>
        <v>TESTADA PARA BUEIRO SIMPLES TUBULAR D = 60 CM EM CONCRETO</v>
      </c>
      <c r="C59" s="222" t="str">
        <f>'Orçamento '!D61</f>
        <v>UN</v>
      </c>
      <c r="D59" s="231">
        <f>'Orçamento '!E61</f>
        <v>2</v>
      </c>
      <c r="E59" s="224" t="s">
        <v>545</v>
      </c>
      <c r="G59" s="348">
        <f>2</f>
        <v>2</v>
      </c>
    </row>
    <row r="60" spans="1:21" ht="33" customHeight="1">
      <c r="A60" s="220" t="str">
        <f>'Orçamento '!A62</f>
        <v>3.23</v>
      </c>
      <c r="B60" s="221" t="str">
        <f>'Orçamento '!C62</f>
        <v>BOCA PARA BUEIRO SIMPLES TUBULAR D = 40 CM EM CONCRETO, ALAS COM ESCONSIDADE DE 0°</v>
      </c>
      <c r="C60" s="222" t="str">
        <f>'Orçamento '!D62</f>
        <v>UN</v>
      </c>
      <c r="D60" s="231">
        <f>'Orçamento '!E62</f>
        <v>0</v>
      </c>
      <c r="E60" s="224"/>
    </row>
    <row r="61" spans="1:21" ht="33" customHeight="1">
      <c r="A61" s="220" t="str">
        <f>'Orçamento '!A63</f>
        <v>3.24</v>
      </c>
      <c r="B61" s="221" t="str">
        <f>'Orçamento '!C63</f>
        <v>BOCA PARA BUEIRO SIMPLES TUBULAR D = 60 CM EM CONCRETO, ALAS COM ESCONSIDADE DE 0°</v>
      </c>
      <c r="C61" s="222" t="str">
        <f>'Orçamento '!D63</f>
        <v>UN</v>
      </c>
      <c r="D61" s="231">
        <f>'Orçamento '!E63</f>
        <v>0</v>
      </c>
      <c r="E61" s="224"/>
      <c r="O61" s="232"/>
      <c r="P61" s="232"/>
      <c r="Q61" s="232"/>
      <c r="R61" s="232"/>
      <c r="S61" s="232"/>
      <c r="T61" s="232"/>
      <c r="U61" s="232"/>
    </row>
    <row r="62" spans="1:21" ht="33" customHeight="1">
      <c r="A62" s="220" t="str">
        <f>'Orçamento '!A64</f>
        <v>3.25</v>
      </c>
      <c r="B62" s="221" t="str">
        <f>'Orçamento '!C64</f>
        <v>BOCA PARA BUEIRO SIMPLES TUBULAR D = 80 CM EM CONCRETO, ALAS COM ESCONSIDADE DE 0°</v>
      </c>
      <c r="C62" s="222" t="str">
        <f>'Orçamento '!D64</f>
        <v>UN</v>
      </c>
      <c r="D62" s="231">
        <f>'Orçamento '!E64</f>
        <v>0</v>
      </c>
      <c r="E62" s="224"/>
      <c r="O62" s="232"/>
      <c r="P62" s="232"/>
      <c r="Q62" s="232"/>
      <c r="R62" s="232"/>
      <c r="S62" s="232"/>
      <c r="T62" s="232"/>
      <c r="U62" s="232"/>
    </row>
    <row r="63" spans="1:21" ht="33" customHeight="1">
      <c r="A63" s="220" t="str">
        <f>'Orçamento '!A65</f>
        <v>3.26</v>
      </c>
      <c r="B63" s="221" t="str">
        <f>'Orçamento '!C65</f>
        <v>BOCA PARA BUEIRO SIMPLES TUBULAR D = 100 CM EM CONCRETO, ALAS COM ESCONSIDADE DE 0°</v>
      </c>
      <c r="C63" s="222" t="str">
        <f>'Orçamento '!D65</f>
        <v>UN</v>
      </c>
      <c r="D63" s="231">
        <f>'Orçamento '!E65</f>
        <v>0</v>
      </c>
      <c r="E63" s="224"/>
    </row>
    <row r="64" spans="1:21" ht="36">
      <c r="A64" s="220" t="str">
        <f>'Orçamento '!A66</f>
        <v>3.27</v>
      </c>
      <c r="B64" s="221" t="str">
        <f>'Orçamento '!C66</f>
        <v>POÇO DE VISITA RETANGULAR PARA DRENAGEM, EM ALVENARIA, DIMENSÕES INTERNAS = 0,80M X 0,80M E ALTURA ATÉ 1,5 M</v>
      </c>
      <c r="C64" s="222" t="str">
        <f>'Orçamento '!D66</f>
        <v>UN</v>
      </c>
      <c r="D64" s="231">
        <f>'Orçamento '!E66</f>
        <v>0</v>
      </c>
      <c r="E64" s="224"/>
    </row>
    <row r="65" spans="1:21" ht="36">
      <c r="A65" s="220" t="str">
        <f>'Orçamento '!A67</f>
        <v>3.28</v>
      </c>
      <c r="B65" s="221" t="str">
        <f>'Orçamento '!C67</f>
        <v>POÇO DE VISITA RETANGULAR PARA DRENAGEM, EM ALVENARIA, DIMENSÕES INTERNAS = 1,50M X 1,50M E ALTURA ATÉ 1,5 M</v>
      </c>
      <c r="C65" s="222" t="str">
        <f>'Orçamento '!D67</f>
        <v>UN</v>
      </c>
      <c r="D65" s="231">
        <f>'Orçamento '!E67</f>
        <v>0</v>
      </c>
      <c r="E65" s="224"/>
      <c r="O65" s="232"/>
      <c r="P65" s="232"/>
      <c r="Q65" s="232"/>
      <c r="R65" s="232"/>
      <c r="S65" s="232"/>
      <c r="T65" s="232"/>
      <c r="U65" s="232"/>
    </row>
    <row r="66" spans="1:21" ht="36">
      <c r="A66" s="220" t="str">
        <f>'Orçamento '!A68</f>
        <v>3.29</v>
      </c>
      <c r="B66" s="221" t="str">
        <f>'Orçamento '!C68</f>
        <v>CAIXA COM GRELHA RETANGULAR DE FERRO FUNDIDO, EM ALVENARIA COM TIJOLOS CERÂMICOS MACIÇOS</v>
      </c>
      <c r="C66" s="222" t="str">
        <f>'Orçamento '!D68</f>
        <v>UN</v>
      </c>
      <c r="D66" s="231">
        <f>'Orçamento '!E68</f>
        <v>0</v>
      </c>
      <c r="E66" s="224"/>
    </row>
    <row r="67" spans="1:21" s="219" customFormat="1" ht="23.25" customHeight="1">
      <c r="A67" s="225">
        <v>4</v>
      </c>
      <c r="B67" s="226" t="s">
        <v>17</v>
      </c>
      <c r="C67" s="227"/>
      <c r="D67" s="228"/>
      <c r="E67" s="229"/>
      <c r="F67" s="201"/>
      <c r="G67" s="348"/>
      <c r="H67" s="201"/>
      <c r="I67" s="201"/>
      <c r="J67" s="201"/>
      <c r="K67" s="201"/>
      <c r="L67" s="201"/>
      <c r="M67" s="201"/>
    </row>
    <row r="68" spans="1:21" ht="36">
      <c r="A68" s="220" t="str">
        <f>'Orçamento '!A71</f>
        <v>4.1</v>
      </c>
      <c r="B68" s="221" t="str">
        <f>'Orçamento '!C71</f>
        <v>EXECUÇÃO E COMPACTAÇÃO DE SUB BASE PARA PAVIMENTAÇÃO DE MACADAME - EXCLUSIVE CARGA E TRANSPORTE. (E = 20CM)</v>
      </c>
      <c r="C68" s="222" t="str">
        <f>'Orçamento '!D71</f>
        <v>M3</v>
      </c>
      <c r="D68" s="223">
        <f>'Orçamento '!E71</f>
        <v>1092</v>
      </c>
      <c r="E68" s="224" t="s">
        <v>528</v>
      </c>
      <c r="G68" s="348">
        <f>700*7.8*0.2</f>
        <v>1092</v>
      </c>
    </row>
    <row r="69" spans="1:21" ht="31.5" customHeight="1">
      <c r="A69" s="220" t="str">
        <f>'Orçamento '!A72</f>
        <v>4.2</v>
      </c>
      <c r="B69" s="221" t="str">
        <f>'Orçamento '!C72</f>
        <v>CARGA, MANOBRA E DESCARGA DE MACADAME</v>
      </c>
      <c r="C69" s="222" t="str">
        <f>'Orçamento '!D72</f>
        <v>M3</v>
      </c>
      <c r="D69" s="223">
        <f>'Orçamento '!E72</f>
        <v>1528.8</v>
      </c>
      <c r="E69" s="224" t="s">
        <v>529</v>
      </c>
      <c r="G69" s="348">
        <f>1092*1.4</f>
        <v>1528.8</v>
      </c>
    </row>
    <row r="70" spans="1:21" ht="36">
      <c r="A70" s="220" t="str">
        <f>'Orçamento '!A73</f>
        <v>4.3</v>
      </c>
      <c r="B70" s="221" t="str">
        <f>'Orçamento '!C73</f>
        <v>TRANSPORTE COM CAMINHÃO BASCULANTE DE 10 M³ - RODOVIA PAVIMENTADA DMT 20,70 KM</v>
      </c>
      <c r="C70" s="222" t="str">
        <f>'Orçamento '!D73</f>
        <v>M3 x KM</v>
      </c>
      <c r="D70" s="223">
        <f>'Orçamento '!E73</f>
        <v>30881.759999999998</v>
      </c>
      <c r="E70" s="224" t="s">
        <v>548</v>
      </c>
      <c r="G70" s="348">
        <f>1528.8*20.2</f>
        <v>30881.759999999998</v>
      </c>
    </row>
    <row r="71" spans="1:21" ht="36">
      <c r="A71" s="220" t="str">
        <f>'Orçamento '!A74</f>
        <v>4.4</v>
      </c>
      <c r="B71" s="221" t="str">
        <f>'Orçamento '!C74</f>
        <v>EXECUÇÃO E COMPACTAÇÃO DE BASE PARA PAVIMENTAÇÃO DE BRITA GRADUADA SIMPLES - EXCLUSIVE CARGA E TRANSPORTE. (E = 15CM)</v>
      </c>
      <c r="C71" s="222" t="str">
        <f>'Orçamento '!D74</f>
        <v>M3</v>
      </c>
      <c r="D71" s="223">
        <f>'Orçamento '!E74</f>
        <v>782.25</v>
      </c>
      <c r="E71" s="224" t="s">
        <v>530</v>
      </c>
      <c r="G71" s="348">
        <f>700*7.45*0.15</f>
        <v>782.25</v>
      </c>
    </row>
    <row r="72" spans="1:21" ht="36">
      <c r="A72" s="220" t="str">
        <f>'Orçamento '!A75</f>
        <v>4.5</v>
      </c>
      <c r="B72" s="221" t="str">
        <f>'Orçamento '!C75</f>
        <v>CARGA, MANOBRA E DESCARGA DE BASE DE BRITA GRADUADA SIMPLES</v>
      </c>
      <c r="C72" s="222" t="str">
        <f>'Orçamento '!D75</f>
        <v>M3</v>
      </c>
      <c r="D72" s="223">
        <f>'Orçamento '!E75</f>
        <v>1149.9100000000001</v>
      </c>
      <c r="E72" s="224" t="s">
        <v>531</v>
      </c>
      <c r="G72" s="348">
        <f>782.25*1.47</f>
        <v>1149.9075</v>
      </c>
    </row>
    <row r="73" spans="1:21" ht="36">
      <c r="A73" s="220" t="str">
        <f>'Orçamento '!A76</f>
        <v>4.6</v>
      </c>
      <c r="B73" s="221" t="str">
        <f>'Orçamento '!C76</f>
        <v>TRANSPORTE COM CAMINHÃO BASCULANTE DE 10 M³ - RODOVIA PAVIMENTADA DMT 20,70 KM</v>
      </c>
      <c r="C73" s="222" t="str">
        <f>'Orçamento '!D76</f>
        <v>M3 x KM</v>
      </c>
      <c r="D73" s="223">
        <f>'Orçamento '!E76</f>
        <v>23228.18</v>
      </c>
      <c r="E73" s="224" t="s">
        <v>549</v>
      </c>
      <c r="G73" s="348">
        <f>1149.91*20.2</f>
        <v>23228.182000000001</v>
      </c>
    </row>
    <row r="74" spans="1:21" ht="41.25" customHeight="1">
      <c r="A74" s="220" t="str">
        <f>'Orçamento '!A77</f>
        <v>4.7</v>
      </c>
      <c r="B74" s="221" t="str">
        <f>'Orçamento '!C77</f>
        <v>EXECUÇÃO DE MEIO-FIO, DIMENSÕES 100X15X13X30 CM - (COMPRIMENTO X BASE INFERIOR X BASE SUPERIOR X ALTURA)</v>
      </c>
      <c r="C74" s="222" t="str">
        <f>'Orçamento '!D77</f>
        <v>M</v>
      </c>
      <c r="D74" s="223">
        <f>'Orçamento '!E77</f>
        <v>0</v>
      </c>
      <c r="E74" s="224"/>
    </row>
    <row r="75" spans="1:21" ht="18">
      <c r="A75" s="220" t="str">
        <f>'Orçamento '!A78</f>
        <v>4.8</v>
      </c>
      <c r="B75" s="221" t="str">
        <f>'Orçamento '!C78</f>
        <v>IMPRIMAÇÃO COM CM-30, INCLUSIVE ASFALTO E TRANSPORTE, TAXA= 0,8 L/M² A 1,6 L/M²</v>
      </c>
      <c r="C75" s="222" t="str">
        <f>'Orçamento '!D78</f>
        <v>M2</v>
      </c>
      <c r="D75" s="223">
        <f>'Orçamento '!E78</f>
        <v>5320</v>
      </c>
      <c r="E75" s="224" t="s">
        <v>532</v>
      </c>
      <c r="G75" s="348">
        <f>700*7.6</f>
        <v>5320</v>
      </c>
    </row>
    <row r="76" spans="1:21" ht="18">
      <c r="A76" s="220" t="str">
        <f>'Orçamento '!A79</f>
        <v>4.9</v>
      </c>
      <c r="B76" s="221" t="str">
        <f>'Orçamento '!C79</f>
        <v>EXECUÇÃO DE PINTURA DE LIGAÇÃO COM EMULSÃO ASFÁLTICA RR-2C</v>
      </c>
      <c r="C76" s="222" t="str">
        <f>'Orçamento '!D79</f>
        <v>M2</v>
      </c>
      <c r="D76" s="223">
        <f>'Orçamento '!E79</f>
        <v>4550</v>
      </c>
      <c r="E76" s="224" t="s">
        <v>533</v>
      </c>
      <c r="G76" s="348">
        <f>700*6.5</f>
        <v>4550</v>
      </c>
    </row>
    <row r="77" spans="1:21" ht="36">
      <c r="A77" s="220" t="str">
        <f>'Orçamento '!A80</f>
        <v>4.10</v>
      </c>
      <c r="B77" s="221" t="str">
        <f>'Orçamento '!C80</f>
        <v>EXECUÇÃO DE PAVIMENTO COM APLICAÇÃO DE CONCRETO ASFÁLTICO, CAMADA DE ROLAMENTO - EXCLUSIVE CARGA E TRANSPORTE (E = 5CM)</v>
      </c>
      <c r="C77" s="222" t="str">
        <f>'Orçamento '!D80</f>
        <v>M3</v>
      </c>
      <c r="D77" s="223">
        <f>'Orçamento '!E80</f>
        <v>227.5</v>
      </c>
      <c r="E77" s="224" t="s">
        <v>534</v>
      </c>
      <c r="G77" s="348">
        <f>700*6.5*0.05</f>
        <v>227.5</v>
      </c>
    </row>
    <row r="78" spans="1:21" ht="31.5" customHeight="1">
      <c r="A78" s="220" t="str">
        <f>'Orçamento '!A81</f>
        <v>4.11</v>
      </c>
      <c r="B78" s="221" t="str">
        <f>'Orçamento '!C81</f>
        <v>CARGA, MANOBRA E DESCARGA DE CONCRETO ASFÁLTICO</v>
      </c>
      <c r="C78" s="222" t="str">
        <f>'Orçamento '!D81</f>
        <v>M3</v>
      </c>
      <c r="D78" s="223">
        <f>'Orçamento '!E81</f>
        <v>334.43</v>
      </c>
      <c r="E78" s="224" t="s">
        <v>535</v>
      </c>
      <c r="G78" s="348">
        <f>227.5*1.47</f>
        <v>334.42500000000001</v>
      </c>
    </row>
    <row r="79" spans="1:21" ht="36">
      <c r="A79" s="220" t="str">
        <f>'Orçamento '!A82</f>
        <v>4.12</v>
      </c>
      <c r="B79" s="221" t="str">
        <f>'Orçamento '!C82</f>
        <v>TRANSPORTE COM CAMINHÃO BASCULANTE DE 10 M³ - RODOVIA PAVIMENTADA DMT 20,70 KM</v>
      </c>
      <c r="C79" s="222" t="str">
        <f>'Orçamento '!D82</f>
        <v>M3 x KM</v>
      </c>
      <c r="D79" s="223">
        <f>'Orçamento '!E82</f>
        <v>5551.54</v>
      </c>
      <c r="E79" s="224" t="s">
        <v>550</v>
      </c>
      <c r="G79" s="348">
        <f>334.43*16.6</f>
        <v>5551.5380000000005</v>
      </c>
    </row>
    <row r="80" spans="1:21" ht="23.25" customHeight="1">
      <c r="A80" s="220" t="str">
        <f>'Orçamento '!A83</f>
        <v>4.13</v>
      </c>
      <c r="B80" s="221" t="str">
        <f>'Orçamento '!C83</f>
        <v>PINTURA DE MEIO-FIO COM TINTA ACRÍLICA, APLICAÇÃO MANUAL, 2 DEMÃOS</v>
      </c>
      <c r="C80" s="222" t="str">
        <f>'Orçamento '!D83</f>
        <v>M2</v>
      </c>
      <c r="D80" s="223">
        <f>'Orçamento '!E83</f>
        <v>0</v>
      </c>
      <c r="E80" s="224"/>
    </row>
    <row r="81" spans="1:13" ht="23.25" customHeight="1">
      <c r="A81" s="220" t="str">
        <f>'Orçamento '!A84</f>
        <v>4.14</v>
      </c>
      <c r="B81" s="221" t="str">
        <f>'Orçamento '!C84</f>
        <v>PINTURA DE MEIO-FIO COM TINTA BRANCA A BASE DE CAL (CAIAÇÃO). AF_05/2021</v>
      </c>
      <c r="C81" s="222" t="str">
        <f>'Orçamento '!D84</f>
        <v>M</v>
      </c>
      <c r="D81" s="223">
        <f>'Orçamento '!E84</f>
        <v>0</v>
      </c>
      <c r="E81" s="224"/>
    </row>
    <row r="82" spans="1:13" s="219" customFormat="1" ht="23.25" customHeight="1">
      <c r="A82" s="225">
        <v>5</v>
      </c>
      <c r="B82" s="226" t="s">
        <v>42</v>
      </c>
      <c r="C82" s="227"/>
      <c r="D82" s="228"/>
      <c r="E82" s="229"/>
      <c r="F82" s="218"/>
      <c r="G82" s="349"/>
      <c r="H82" s="218"/>
      <c r="I82" s="218"/>
      <c r="J82" s="218"/>
      <c r="K82" s="218"/>
      <c r="L82" s="218"/>
      <c r="M82" s="218"/>
    </row>
    <row r="83" spans="1:13" ht="36">
      <c r="A83" s="220" t="s">
        <v>18</v>
      </c>
      <c r="B83" s="221" t="str">
        <f>'Orçamento '!C87</f>
        <v>PINTURA DE EIXO E BORDO VIÁRIO SOBRE ASFALTO COM TINTA RETRORREFLETIVA A BASE DE RESINA ACRÍLICA COM MICROESFERAS DE VIDRO, APLICAÇÃO MECÂNICA (L = 12 CM)</v>
      </c>
      <c r="C83" s="222" t="str">
        <f>'Orçamento '!D87</f>
        <v>M</v>
      </c>
      <c r="D83" s="231">
        <f>'Orçamento '!E87</f>
        <v>2100</v>
      </c>
      <c r="E83" s="224" t="s">
        <v>536</v>
      </c>
      <c r="G83" s="348">
        <f>700*3</f>
        <v>2100</v>
      </c>
    </row>
    <row r="84" spans="1:13" ht="18">
      <c r="A84" s="220" t="s">
        <v>19</v>
      </c>
      <c r="B84" s="221" t="s">
        <v>508</v>
      </c>
      <c r="C84" s="222" t="s">
        <v>32</v>
      </c>
      <c r="D84" s="231">
        <f>'Orçamento '!E88</f>
        <v>252</v>
      </c>
      <c r="E84" s="224" t="s">
        <v>546</v>
      </c>
      <c r="G84" s="348">
        <f>D83*0.12</f>
        <v>252</v>
      </c>
    </row>
    <row r="85" spans="1:13" ht="23.25" customHeight="1">
      <c r="A85" s="220" t="s">
        <v>20</v>
      </c>
      <c r="B85" s="221" t="str">
        <f>'Orçamento '!C89</f>
        <v>PLACA DE REGULAMENTAÇÃO  R-19 (60 KM/H) - CIRCULAR D = 50 CM</v>
      </c>
      <c r="C85" s="222" t="str">
        <f>'Orçamento '!D89</f>
        <v>UN</v>
      </c>
      <c r="D85" s="231">
        <f>'Orçamento '!E89</f>
        <v>3</v>
      </c>
      <c r="E85" s="224" t="s">
        <v>537</v>
      </c>
      <c r="G85" s="348">
        <f>3</f>
        <v>3</v>
      </c>
    </row>
    <row r="86" spans="1:13" ht="23.25" customHeight="1">
      <c r="A86" s="220" t="s">
        <v>47</v>
      </c>
      <c r="B86" s="221" t="str">
        <f>'Orçamento '!C90</f>
        <v>PLACA DE REGULAMENTAÇÃO  R-07 (PROIBIDO ULTRAPASSAR) - CIRCULAR D = 50 CM</v>
      </c>
      <c r="C86" s="222" t="str">
        <f>'Orçamento '!D90</f>
        <v>UN</v>
      </c>
      <c r="D86" s="231">
        <f>'Orçamento '!E90</f>
        <v>3</v>
      </c>
      <c r="E86" s="224" t="s">
        <v>537</v>
      </c>
      <c r="G86" s="348">
        <f>3</f>
        <v>3</v>
      </c>
    </row>
    <row r="87" spans="1:13" ht="18">
      <c r="A87" s="220" t="s">
        <v>462</v>
      </c>
      <c r="B87" s="221" t="str">
        <f>'Orçamento '!C91</f>
        <v>PLACA DE REGULAMENTAÇÃO  R-01 (PARE) - OCTOGONAL - L = 25 CM</v>
      </c>
      <c r="C87" s="222" t="str">
        <f>'Orçamento '!D91</f>
        <v>UN</v>
      </c>
      <c r="D87" s="231">
        <f>'Orçamento '!E91</f>
        <v>1</v>
      </c>
      <c r="E87" s="224" t="s">
        <v>405</v>
      </c>
      <c r="G87" s="348">
        <f>1</f>
        <v>1</v>
      </c>
    </row>
    <row r="88" spans="1:13" ht="23.25" customHeight="1">
      <c r="A88" s="220" t="s">
        <v>463</v>
      </c>
      <c r="B88" s="221" t="str">
        <f>'Orçamento '!C92</f>
        <v>POSTE PARA PLACA DE REGULAMENTAÇÃO</v>
      </c>
      <c r="C88" s="222" t="str">
        <f>'Orçamento '!D92</f>
        <v>UN</v>
      </c>
      <c r="D88" s="231">
        <f>'Orçamento '!E92</f>
        <v>7</v>
      </c>
      <c r="E88" s="224" t="s">
        <v>538</v>
      </c>
      <c r="G88" s="348">
        <f>3+3+1</f>
        <v>7</v>
      </c>
    </row>
    <row r="89" spans="1:13" ht="23.25" customHeight="1">
      <c r="A89" s="220" t="s">
        <v>464</v>
      </c>
      <c r="B89" s="221" t="str">
        <f>'Orçamento '!C93</f>
        <v>PLACA DE INFORMAÇÃO 2,00 X 1,00 - PONTE</v>
      </c>
      <c r="C89" s="222" t="str">
        <f>'Orçamento '!D93</f>
        <v>UN</v>
      </c>
      <c r="D89" s="231">
        <f>'Orçamento '!E93</f>
        <v>0</v>
      </c>
      <c r="E89" s="224"/>
    </row>
    <row r="90" spans="1:13" ht="23.25" customHeight="1">
      <c r="A90" s="220" t="s">
        <v>465</v>
      </c>
      <c r="B90" s="221" t="str">
        <f>'Orçamento '!C94</f>
        <v>POSTE PARA PLACA DE INFORMAÇÃO 2,00 X 1,00</v>
      </c>
      <c r="C90" s="222" t="str">
        <f>'Orçamento '!D94</f>
        <v>UN</v>
      </c>
      <c r="D90" s="231">
        <f>'Orçamento '!E94</f>
        <v>0</v>
      </c>
      <c r="E90" s="224"/>
    </row>
    <row r="91" spans="1:13" ht="23.25" customHeight="1">
      <c r="A91" s="220" t="s">
        <v>485</v>
      </c>
      <c r="B91" s="221" t="str">
        <f>'Orçamento '!C95</f>
        <v>TACHA BIDIRECIONAL</v>
      </c>
      <c r="C91" s="222" t="str">
        <f>'Orçamento '!D95</f>
        <v>UN</v>
      </c>
      <c r="D91" s="231">
        <f>'Orçamento '!E95</f>
        <v>264</v>
      </c>
      <c r="E91" s="224" t="s">
        <v>561</v>
      </c>
      <c r="G91" s="348">
        <f>2100/8+1</f>
        <v>263.5</v>
      </c>
    </row>
    <row r="92" spans="1:13" ht="23.25" customHeight="1">
      <c r="A92" s="220" t="s">
        <v>491</v>
      </c>
      <c r="B92" s="221" t="str">
        <f>'Orçamento '!C96</f>
        <v>TACHÃO BIDIRECIONAL</v>
      </c>
      <c r="C92" s="222" t="str">
        <f>'Orçamento '!D96</f>
        <v>UN</v>
      </c>
      <c r="D92" s="231">
        <f>'Orçamento '!E96</f>
        <v>0</v>
      </c>
      <c r="E92" s="224"/>
    </row>
    <row r="93" spans="1:13" ht="21.95" customHeight="1">
      <c r="D93" s="235"/>
    </row>
    <row r="97" spans="2:5" ht="24.75" customHeight="1">
      <c r="B97" s="236" t="str">
        <f>'Orçamento '!C102</f>
        <v>RESPONSÁVEL TÉCNICO</v>
      </c>
      <c r="E97" s="237" t="str">
        <f>'Orçamento '!E102</f>
        <v>PREFEITURA MUNICIPAL</v>
      </c>
    </row>
    <row r="98" spans="2:5" ht="24.75" customHeight="1">
      <c r="B98" s="236"/>
      <c r="E98" s="237" t="str">
        <f>'Orçamento '!E103</f>
        <v>CRUZEIRO DO SUL/RS</v>
      </c>
    </row>
  </sheetData>
  <mergeCells count="6">
    <mergeCell ref="E13:E14"/>
    <mergeCell ref="A11:E11"/>
    <mergeCell ref="A13:A14"/>
    <mergeCell ref="B13:B14"/>
    <mergeCell ref="C13:C14"/>
    <mergeCell ref="D13:D14"/>
  </mergeCells>
  <printOptions horizontalCentered="1"/>
  <pageMargins left="0.31496062992125984" right="0.31496062992125984" top="0.59055118110236227" bottom="0.19685039370078741" header="0.31496062992125984" footer="0.31496062992125984"/>
  <pageSetup paperSize="9" scale="32" orientation="portrait" r:id="rId1"/>
  <headerFooter alignWithMargins="0"/>
  <rowBreaks count="1" manualBreakCount="1">
    <brk id="77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B22"/>
  <sheetViews>
    <sheetView workbookViewId="0">
      <selection activeCell="B22" sqref="B22"/>
    </sheetView>
  </sheetViews>
  <sheetFormatPr defaultRowHeight="12.75"/>
  <cols>
    <col min="1" max="1" width="22" customWidth="1"/>
    <col min="2" max="2" width="24.7109375" customWidth="1"/>
  </cols>
  <sheetData>
    <row r="1" spans="1:2">
      <c r="A1" s="346" t="s">
        <v>516</v>
      </c>
      <c r="B1" s="347"/>
    </row>
    <row r="2" spans="1:2" ht="16.5" customHeight="1">
      <c r="A2" s="345" t="s">
        <v>392</v>
      </c>
      <c r="B2" s="345" t="s">
        <v>393</v>
      </c>
    </row>
    <row r="3" spans="1:2" ht="16.5" customHeight="1">
      <c r="A3" s="2" t="s">
        <v>394</v>
      </c>
      <c r="B3" s="2">
        <v>16.100000000000001</v>
      </c>
    </row>
    <row r="4" spans="1:2" ht="16.5" customHeight="1">
      <c r="A4" s="2" t="s">
        <v>395</v>
      </c>
      <c r="B4" s="2">
        <v>22.4</v>
      </c>
    </row>
    <row r="5" spans="1:2" ht="16.5" customHeight="1">
      <c r="A5" s="2" t="s">
        <v>396</v>
      </c>
      <c r="B5" s="2">
        <v>22.1</v>
      </c>
    </row>
    <row r="6" spans="1:2">
      <c r="A6" s="3" t="s">
        <v>163</v>
      </c>
      <c r="B6" s="1">
        <f>ROUND(AVERAGE(B3:B5),2)</f>
        <v>20.2</v>
      </c>
    </row>
    <row r="10" spans="1:2">
      <c r="A10" s="1" t="s">
        <v>504</v>
      </c>
      <c r="B10" s="1" t="s">
        <v>393</v>
      </c>
    </row>
    <row r="11" spans="1:2">
      <c r="A11" s="333" t="s">
        <v>505</v>
      </c>
      <c r="B11" s="2">
        <v>2</v>
      </c>
    </row>
    <row r="12" spans="1:2">
      <c r="A12" s="2"/>
      <c r="B12" s="2"/>
    </row>
    <row r="13" spans="1:2">
      <c r="A13" s="2"/>
      <c r="B13" s="2"/>
    </row>
    <row r="14" spans="1:2">
      <c r="A14" s="3" t="s">
        <v>163</v>
      </c>
      <c r="B14" s="1">
        <f>AVERAGE(B11:B13)</f>
        <v>2</v>
      </c>
    </row>
    <row r="17" spans="1:2">
      <c r="A17" s="346" t="s">
        <v>517</v>
      </c>
      <c r="B17" s="347"/>
    </row>
    <row r="18" spans="1:2">
      <c r="A18" s="345" t="s">
        <v>392</v>
      </c>
      <c r="B18" s="345" t="s">
        <v>393</v>
      </c>
    </row>
    <row r="19" spans="1:2">
      <c r="A19" s="2" t="s">
        <v>394</v>
      </c>
      <c r="B19" s="2">
        <v>5.3</v>
      </c>
    </row>
    <row r="20" spans="1:2">
      <c r="A20" s="2" t="s">
        <v>395</v>
      </c>
      <c r="B20" s="2">
        <v>22.4</v>
      </c>
    </row>
    <row r="21" spans="1:2">
      <c r="A21" s="2" t="s">
        <v>396</v>
      </c>
      <c r="B21" s="2">
        <v>22.1</v>
      </c>
    </row>
    <row r="22" spans="1:2">
      <c r="A22" s="3" t="s">
        <v>163</v>
      </c>
      <c r="B22" s="1">
        <f>ROUND(AVERAGE(B19:B21),1)</f>
        <v>16.600000000000001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8</vt:i4>
      </vt:variant>
    </vt:vector>
  </HeadingPairs>
  <TitlesOfParts>
    <vt:vector size="15" baseType="lpstr">
      <vt:lpstr>Orçamento </vt:lpstr>
      <vt:lpstr>Cronograma</vt:lpstr>
      <vt:lpstr>BDI</vt:lpstr>
      <vt:lpstr>Encargos Sociais</vt:lpstr>
      <vt:lpstr>Composições</vt:lpstr>
      <vt:lpstr>Memória da cálculo</vt:lpstr>
      <vt:lpstr>DMT'S</vt:lpstr>
      <vt:lpstr>BDI!Area_de_impressao</vt:lpstr>
      <vt:lpstr>Composições!Area_de_impressao</vt:lpstr>
      <vt:lpstr>Cronograma!Area_de_impressao</vt:lpstr>
      <vt:lpstr>'Encargos Sociais'!Area_de_impressao</vt:lpstr>
      <vt:lpstr>'Memória da cálculo'!Area_de_impressao</vt:lpstr>
      <vt:lpstr>'Orçamento '!Area_de_impressao</vt:lpstr>
      <vt:lpstr>'Memória da cálculo'!Titulos_de_impressao</vt:lpstr>
      <vt:lpstr>'Orçamento '!Titulos_de_impressao</vt:lpstr>
    </vt:vector>
  </TitlesOfParts>
  <Company>PAP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Projetos</dc:creator>
  <cp:lastModifiedBy>Usuário</cp:lastModifiedBy>
  <cp:lastPrinted>2023-10-20T12:26:23Z</cp:lastPrinted>
  <dcterms:created xsi:type="dcterms:W3CDTF">2015-02-25T13:52:55Z</dcterms:created>
  <dcterms:modified xsi:type="dcterms:W3CDTF">2024-01-25T17:32:13Z</dcterms:modified>
</cp:coreProperties>
</file>